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OneDrive\Dokumente\Dokumente\MBG\Unfallkonzept VSAM\"/>
    </mc:Choice>
  </mc:AlternateContent>
  <xr:revisionPtr revIDLastSave="0" documentId="13_ncr:1_{8488C3AF-287C-43B0-AAAA-A4BE09FF2C98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VSAM - Beitragsberechnungstabel" sheetId="1" r:id="rId1"/>
  </sheets>
  <definedNames>
    <definedName name="_xlnm.Print_Area" localSheetId="0">'VSAM - Beitragsberechnungstabel'!$B$2:$AJ$48</definedName>
    <definedName name="Excel_BuiltIn_Print_Area" localSheetId="0">'VSAM - Beitragsberechnungstabel'!$D$2:$AN$47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42" i="1" l="1"/>
  <c r="D40" i="1"/>
  <c r="N39" i="1"/>
  <c r="K39" i="1"/>
  <c r="H39" i="1"/>
  <c r="E39" i="1"/>
  <c r="AK38" i="1"/>
  <c r="AB38" i="1"/>
  <c r="P38" i="1"/>
  <c r="N38" i="1"/>
  <c r="K38" i="1"/>
  <c r="H38" i="1"/>
  <c r="D38" i="1"/>
  <c r="AK37" i="1"/>
  <c r="AB37" i="1"/>
  <c r="P37" i="1"/>
  <c r="N37" i="1"/>
  <c r="K37" i="1"/>
  <c r="H37" i="1"/>
  <c r="D37" i="1"/>
  <c r="D35" i="1"/>
  <c r="AK34" i="1"/>
  <c r="D34" i="1" s="1"/>
  <c r="AB33" i="1"/>
  <c r="V33" i="1"/>
  <c r="P33" i="1"/>
  <c r="H33" i="1"/>
  <c r="E33" i="1"/>
  <c r="D33" i="1"/>
  <c r="AB32" i="1"/>
  <c r="V32" i="1"/>
  <c r="P32" i="1"/>
  <c r="D32" i="1"/>
  <c r="AB31" i="1"/>
  <c r="V31" i="1"/>
  <c r="P31" i="1"/>
  <c r="H31" i="1"/>
  <c r="E31" i="1"/>
  <c r="D31" i="1"/>
  <c r="AB30" i="1"/>
  <c r="V30" i="1"/>
  <c r="P30" i="1"/>
  <c r="D30" i="1"/>
  <c r="AB29" i="1"/>
  <c r="V29" i="1"/>
  <c r="P29" i="1"/>
  <c r="H29" i="1"/>
  <c r="E29" i="1"/>
  <c r="D29" i="1"/>
  <c r="V28" i="1"/>
  <c r="P28" i="1"/>
  <c r="D28" i="1"/>
  <c r="AK27" i="1"/>
  <c r="D27" i="1"/>
  <c r="V26" i="1"/>
  <c r="P26" i="1"/>
  <c r="D26" i="1"/>
  <c r="AI25" i="1"/>
  <c r="O25" i="1"/>
  <c r="L25" i="1"/>
  <c r="I25" i="1"/>
  <c r="F25" i="1"/>
  <c r="D25" i="1"/>
  <c r="E24" i="1"/>
  <c r="D24" i="1"/>
  <c r="AK23" i="1"/>
  <c r="D23" i="1"/>
  <c r="V22" i="1"/>
  <c r="P22" i="1"/>
  <c r="D22" i="1"/>
  <c r="AK21" i="1"/>
  <c r="P21" i="1"/>
  <c r="N21" i="1"/>
  <c r="D21" i="1"/>
  <c r="AK20" i="1"/>
  <c r="V20" i="1"/>
  <c r="P20" i="1"/>
  <c r="D20" i="1"/>
  <c r="V19" i="1"/>
  <c r="P19" i="1"/>
  <c r="N19" i="1"/>
  <c r="K19" i="1"/>
  <c r="D19" i="1"/>
  <c r="V18" i="1"/>
  <c r="P18" i="1"/>
  <c r="D18" i="1"/>
  <c r="V17" i="1"/>
  <c r="P17" i="1"/>
  <c r="H17" i="1"/>
  <c r="E17" i="1"/>
  <c r="D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0" i="1" s="1"/>
  <c r="L16" i="1"/>
  <c r="K10" i="1" s="1"/>
  <c r="I16" i="1"/>
  <c r="H10" i="1" s="1"/>
  <c r="F16" i="1"/>
  <c r="D15" i="1"/>
  <c r="AB12" i="1"/>
  <c r="V12" i="1"/>
  <c r="P12" i="1"/>
  <c r="D12" i="1"/>
  <c r="AN11" i="1"/>
  <c r="E10" i="1"/>
  <c r="G9" i="1"/>
  <c r="F9" i="1"/>
  <c r="F8" i="1"/>
  <c r="F7" i="1"/>
  <c r="N26" i="1" s="1"/>
  <c r="D16" i="1" l="1"/>
  <c r="N15" i="1"/>
  <c r="E18" i="1"/>
  <c r="K20" i="1"/>
  <c r="N22" i="1"/>
  <c r="E34" i="1"/>
  <c r="H34" i="1"/>
  <c r="K34" i="1"/>
  <c r="N34" i="1"/>
  <c r="K29" i="1"/>
  <c r="E27" i="1"/>
  <c r="N31" i="1"/>
  <c r="E15" i="1"/>
  <c r="N24" i="1"/>
  <c r="H20" i="1"/>
  <c r="H28" i="1"/>
  <c r="K32" i="1"/>
  <c r="K28" i="1"/>
  <c r="H23" i="1"/>
  <c r="E26" i="1"/>
  <c r="N28" i="1"/>
  <c r="N33" i="1"/>
  <c r="E22" i="1"/>
  <c r="H18" i="1"/>
  <c r="E32" i="1"/>
  <c r="K18" i="1"/>
  <c r="E28" i="1"/>
  <c r="N32" i="1"/>
  <c r="E12" i="1"/>
  <c r="E21" i="1"/>
  <c r="K23" i="1"/>
  <c r="H26" i="1"/>
  <c r="K31" i="1"/>
  <c r="H27" i="1"/>
  <c r="H15" i="1"/>
  <c r="H22" i="1"/>
  <c r="K27" i="1"/>
  <c r="K15" i="1"/>
  <c r="N20" i="1"/>
  <c r="E30" i="1"/>
  <c r="H32" i="1"/>
  <c r="K30" i="1"/>
  <c r="E23" i="1"/>
  <c r="N30" i="1"/>
  <c r="H12" i="1"/>
  <c r="K12" i="1"/>
  <c r="E19" i="1"/>
  <c r="H21" i="1"/>
  <c r="N23" i="1"/>
  <c r="K26" i="1"/>
  <c r="K17" i="1"/>
  <c r="H24" i="1"/>
  <c r="K33" i="1"/>
  <c r="N17" i="1"/>
  <c r="K24" i="1"/>
  <c r="N29" i="1"/>
  <c r="E20" i="1"/>
  <c r="K22" i="1"/>
  <c r="N27" i="1"/>
  <c r="H30" i="1"/>
  <c r="N18" i="1"/>
  <c r="N12" i="1"/>
  <c r="H19" i="1"/>
  <c r="K21" i="1"/>
  <c r="K40" i="1" l="1"/>
  <c r="H40" i="1"/>
  <c r="N40" i="1"/>
  <c r="E40" i="1"/>
  <c r="E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9" authorId="0" shapeId="0" xr:uid="{00000000-0006-0000-0000-000001000000}">
      <text>
        <r>
          <rPr>
            <sz val="10"/>
            <rFont val="Arial"/>
            <family val="2"/>
          </rPr>
          <t>Für Kinder Höchstsumme = 350€</t>
        </r>
      </text>
    </comment>
  </commentList>
</comments>
</file>

<file path=xl/sharedStrings.xml><?xml version="1.0" encoding="utf-8"?>
<sst xmlns="http://schemas.openxmlformats.org/spreadsheetml/2006/main" count="110" uniqueCount="71">
  <si>
    <r>
      <rPr>
        <b/>
        <sz val="10"/>
        <rFont val="Arial"/>
        <family val="2"/>
      </rPr>
      <t xml:space="preserve">Beitragsberechnungstabelle nach Courtage-Tarif
exklusiv für Mitglieder des VSAM e.V.
</t>
    </r>
    <r>
      <rPr>
        <b/>
        <sz val="6"/>
        <rFont val="Arial"/>
        <family val="2"/>
      </rPr>
      <t xml:space="preserve"> 
</t>
    </r>
    <r>
      <rPr>
        <b/>
        <sz val="10"/>
        <rFont val="Arial"/>
        <family val="2"/>
      </rPr>
      <t>Vollzeitschutz</t>
    </r>
  </si>
  <si>
    <t>Versicherte Person 1</t>
  </si>
  <si>
    <t>Versicherte Person 2</t>
  </si>
  <si>
    <t>Versicherte Person 3</t>
  </si>
  <si>
    <t>Versicherte Person 4</t>
  </si>
  <si>
    <t>Kundenname / VP:</t>
  </si>
  <si>
    <t>Gefahrengruppe *</t>
  </si>
  <si>
    <t>A</t>
  </si>
  <si>
    <t>*</t>
  </si>
  <si>
    <t>Erwachsene A = A</t>
  </si>
  <si>
    <t>Erwachsene B = B</t>
  </si>
  <si>
    <t>Zahlweise (aus Liste auswählen)</t>
  </si>
  <si>
    <t>monatlich</t>
  </si>
  <si>
    <t>Kinder = A</t>
  </si>
  <si>
    <t>Gliedertaxe XL</t>
  </si>
  <si>
    <t>nein</t>
  </si>
  <si>
    <t>Kinder = K</t>
  </si>
  <si>
    <t>Beitragsbefreiung bei Arbeitslosigkeit</t>
  </si>
  <si>
    <t>Leistungsart</t>
  </si>
  <si>
    <t>Beitrag</t>
  </si>
  <si>
    <t>VS</t>
  </si>
  <si>
    <t>B</t>
  </si>
  <si>
    <t>K</t>
  </si>
  <si>
    <t>Höchst-VS</t>
  </si>
  <si>
    <t>G-NL</t>
  </si>
  <si>
    <t>K: 25.000 €</t>
  </si>
  <si>
    <t>Unfall-Tod</t>
  </si>
  <si>
    <r>
      <rPr>
        <sz val="8"/>
        <rFont val="Arial"/>
        <family val="2"/>
      </rPr>
      <t>Bezugsberechtigte Person:</t>
    </r>
    <r>
      <rPr>
        <i/>
        <sz val="8"/>
        <rFont val="Arial"/>
        <family val="2"/>
      </rPr>
      <t xml:space="preserve"> Name </t>
    </r>
  </si>
  <si>
    <t xml:space="preserve">Geb.Datum </t>
  </si>
  <si>
    <t>ohne Prog.</t>
  </si>
  <si>
    <t>P225</t>
  </si>
  <si>
    <t>P300</t>
  </si>
  <si>
    <t>P350</t>
  </si>
  <si>
    <t>P500</t>
  </si>
  <si>
    <t>P1000</t>
  </si>
  <si>
    <t>Invalidität – Grundsumme</t>
  </si>
  <si>
    <t xml:space="preserve">mit U-Rente </t>
  </si>
  <si>
    <t xml:space="preserve">  Leistung bei Vollinvalidität   (Prog. ausw.)</t>
  </si>
  <si>
    <t>Unfall-Krankenhaustagegeld</t>
  </si>
  <si>
    <t>Genesungsgeld</t>
  </si>
  <si>
    <t>Übergangsleistung</t>
  </si>
  <si>
    <t>Unfalltagegeld ab dem 8. Tag</t>
  </si>
  <si>
    <t>Unfalltagegeld ab dem 15. Tag</t>
  </si>
  <si>
    <t>Unfalltagegeld ab dem 43. Tag</t>
  </si>
  <si>
    <t>Krankenhaustagegeld (nur Kinder)</t>
  </si>
  <si>
    <t>mit Inv.</t>
  </si>
  <si>
    <t>Unfallrente ab 50 % Invalidität mit</t>
  </si>
  <si>
    <t>Doppelauszahlung ab 90 % Invalidität</t>
  </si>
  <si>
    <t>-</t>
  </si>
  <si>
    <t>Einmalzahlung bei schwerer Erkrankung *</t>
  </si>
  <si>
    <t>Soforthilfe bei Krebs (nur Kinder)</t>
  </si>
  <si>
    <t>Kosmetische OP</t>
  </si>
  <si>
    <t>K: 350 €</t>
  </si>
  <si>
    <t>Gipsgeld</t>
  </si>
  <si>
    <t>Reha-Management</t>
  </si>
  <si>
    <t>Sport Aktiv</t>
  </si>
  <si>
    <t>Unfall-Rente ab 50% Invalidität</t>
  </si>
  <si>
    <t>Berechnungstabelle VSAM – Stand 7/2023</t>
  </si>
  <si>
    <t>Beihilfe zu Reha-Maßnahmen</t>
  </si>
  <si>
    <t>--</t>
  </si>
  <si>
    <t>Familienhilfe Plus</t>
  </si>
  <si>
    <t>Bergungs- und Rettungskosten
(100.000 € - beitragsfrei)</t>
  </si>
  <si>
    <t>Speziell für Kinder</t>
  </si>
  <si>
    <t>Schulausfallgeld</t>
  </si>
  <si>
    <t>Bitte fügen Sie diese Berechnungstabelle der Deckungsnote bei.</t>
  </si>
  <si>
    <t>*  Für diese Leistungsarten gilt: Höchstversicherungsalter 53 Jahre</t>
  </si>
  <si>
    <r>
      <rPr>
        <b/>
        <sz val="8"/>
        <color rgb="FF000000"/>
        <rFont val="Arial"/>
        <family val="2"/>
      </rPr>
      <t xml:space="preserve">Einmalzahlung bei schwerer Erkrankung </t>
    </r>
    <r>
      <rPr>
        <sz val="8"/>
        <color rgb="FF000000"/>
        <rFont val="Arial"/>
        <family val="2"/>
      </rPr>
      <t>= Herzinfarkt, Schlaganfall, Nierenversagen, Erblindung und geschlechtsspezifische Krebserkrankungen gemäß AUB 2022</t>
    </r>
  </si>
  <si>
    <t>g</t>
  </si>
  <si>
    <t>Max Mustermann</t>
  </si>
  <si>
    <t>ja</t>
  </si>
  <si>
    <t>Franzi Musterfrau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</si>
</sst>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\ [$€-407];[Red]\-#,##0\ [$€-407]"/>
    <numFmt numFmtId="165" formatCode="#,##0.00\ [$€-407];[Red]\-#,##0.00\ [$€-407]"/>
    <numFmt numFmtId="166" formatCode="0.0000"/>
    <numFmt numFmtId="167" formatCode="#,##0\ [$€-407];\-#,##0\ [$€-407]"/>
    <numFmt numFmtId="168" formatCode="&quot;WAHR&quot;;&quot;WAHR&quot;;&quot;FALSCH&quot;"/>
    <numFmt numFmtId="169" formatCode="#,##0.0000\ [$€-407];[Red]\-#,##0.0000\ [$€-407]"/>
  </numFmts>
  <fonts count="20" x14ac:knownFonts="1"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rgb="FFFFFFFF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8"/>
      <color rgb="FFFFFFFF"/>
      <name val="Arial"/>
      <family val="2"/>
    </font>
    <font>
      <sz val="8"/>
      <color rgb="FF000000"/>
      <name val="Arial"/>
      <family val="2"/>
    </font>
    <font>
      <sz val="8"/>
      <color rgb="FFCE181E"/>
      <name val="Arial"/>
      <family val="2"/>
    </font>
    <font>
      <b/>
      <sz val="8"/>
      <color rgb="FFFF0000"/>
      <name val="Arial"/>
      <family val="2"/>
    </font>
    <font>
      <sz val="10"/>
      <color rgb="FF000000"/>
      <name val="Arial"/>
      <family val="2"/>
    </font>
    <font>
      <b/>
      <sz val="8"/>
      <color rgb="FFCE181E"/>
      <name val="Arial"/>
      <family val="2"/>
    </font>
    <font>
      <i/>
      <sz val="8"/>
      <name val="Arial"/>
      <family val="2"/>
    </font>
    <font>
      <sz val="10"/>
      <color rgb="FFCE181E"/>
      <name val="Arial"/>
      <family val="2"/>
    </font>
    <font>
      <sz val="7"/>
      <name val="Arial"/>
      <family val="2"/>
    </font>
    <font>
      <i/>
      <sz val="8"/>
      <color rgb="FF800000"/>
      <name val="Arial"/>
      <family val="2"/>
    </font>
    <font>
      <i/>
      <sz val="8"/>
      <color rgb="FF000000"/>
      <name val="Arial"/>
      <family val="2"/>
    </font>
    <font>
      <b/>
      <u/>
      <sz val="8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CE181E"/>
      </patternFill>
    </fill>
    <fill>
      <patternFill patternType="solid">
        <fgColor rgb="FF00A6EB"/>
        <bgColor rgb="FF33CCCC"/>
      </patternFill>
    </fill>
    <fill>
      <patternFill patternType="solid">
        <fgColor rgb="FFFFFFFF"/>
        <bgColor rgb="FFFFFFCC"/>
      </patternFill>
    </fill>
    <fill>
      <patternFill patternType="solid">
        <fgColor rgb="FFCCCCCC"/>
        <bgColor rgb="FFCCCCFF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1" fillId="2" borderId="0" applyBorder="0" applyAlignment="0" applyProtection="0"/>
    <xf numFmtId="0" fontId="2" fillId="2" borderId="0" applyBorder="0" applyAlignment="0" applyProtection="0"/>
    <xf numFmtId="0" fontId="3" fillId="2" borderId="0" applyBorder="0" applyAlignment="0" applyProtection="0"/>
    <xf numFmtId="0" fontId="4" fillId="0" borderId="0" applyBorder="0" applyAlignment="0" applyProtection="0"/>
  </cellStyleXfs>
  <cellXfs count="115">
    <xf numFmtId="0" fontId="0" fillId="0" borderId="0" xfId="0"/>
    <xf numFmtId="0" fontId="19" fillId="4" borderId="0" xfId="0" applyFont="1" applyFill="1" applyAlignment="1">
      <alignment horizontal="left" vertical="center" wrapText="1"/>
    </xf>
    <xf numFmtId="0" fontId="15" fillId="4" borderId="0" xfId="0" applyFont="1" applyFill="1" applyAlignment="1">
      <alignment horizontal="left" vertical="center" textRotation="90"/>
    </xf>
    <xf numFmtId="164" fontId="8" fillId="4" borderId="12" xfId="0" applyNumberFormat="1" applyFont="1" applyFill="1" applyBorder="1" applyAlignment="1">
      <alignment horizontal="left" vertical="center"/>
    </xf>
    <xf numFmtId="164" fontId="8" fillId="4" borderId="10" xfId="0" applyNumberFormat="1" applyFont="1" applyFill="1" applyBorder="1" applyAlignment="1">
      <alignment horizontal="left" vertical="center"/>
    </xf>
    <xf numFmtId="165" fontId="6" fillId="4" borderId="1" xfId="0" applyNumberFormat="1" applyFont="1" applyFill="1" applyBorder="1" applyAlignment="1">
      <alignment horizontal="right" vertical="center"/>
    </xf>
    <xf numFmtId="2" fontId="6" fillId="4" borderId="1" xfId="0" applyNumberFormat="1" applyFont="1" applyFill="1" applyBorder="1" applyAlignment="1">
      <alignment horizontal="right" vertical="center"/>
    </xf>
    <xf numFmtId="0" fontId="7" fillId="4" borderId="0" xfId="0" applyFont="1" applyFill="1" applyAlignment="1">
      <alignment horizontal="right"/>
    </xf>
    <xf numFmtId="14" fontId="6" fillId="4" borderId="2" xfId="0" applyNumberFormat="1" applyFont="1" applyFill="1" applyBorder="1"/>
    <xf numFmtId="49" fontId="6" fillId="4" borderId="2" xfId="0" applyNumberFormat="1" applyFont="1" applyFill="1" applyBorder="1"/>
    <xf numFmtId="0" fontId="10" fillId="4" borderId="3" xfId="0" applyFont="1" applyFill="1" applyBorder="1" applyAlignment="1">
      <alignment horizontal="center" vertical="center"/>
    </xf>
    <xf numFmtId="0" fontId="3" fillId="5" borderId="2" xfId="0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0" fillId="3" borderId="0" xfId="0" applyFill="1"/>
    <xf numFmtId="0" fontId="0" fillId="4" borderId="0" xfId="0" applyFill="1"/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 vertical="center"/>
    </xf>
    <xf numFmtId="0" fontId="3" fillId="5" borderId="2" xfId="0" applyFont="1" applyFill="1" applyBorder="1" applyAlignment="1" applyProtection="1">
      <alignment horizontal="center"/>
      <protection locked="0"/>
    </xf>
    <xf numFmtId="0" fontId="6" fillId="4" borderId="2" xfId="0" applyFont="1" applyFill="1" applyBorder="1"/>
    <xf numFmtId="0" fontId="7" fillId="4" borderId="0" xfId="0" applyFont="1" applyFill="1"/>
    <xf numFmtId="164" fontId="6" fillId="4" borderId="0" xfId="0" applyNumberFormat="1" applyFont="1" applyFill="1"/>
    <xf numFmtId="165" fontId="6" fillId="4" borderId="2" xfId="0" applyNumberFormat="1" applyFont="1" applyFill="1" applyBorder="1" applyAlignment="1">
      <alignment horizontal="center"/>
    </xf>
    <xf numFmtId="0" fontId="8" fillId="4" borderId="0" xfId="0" applyFont="1" applyFill="1"/>
    <xf numFmtId="0" fontId="9" fillId="4" borderId="0" xfId="0" applyFont="1" applyFill="1"/>
    <xf numFmtId="0" fontId="3" fillId="4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2" fillId="4" borderId="0" xfId="0" applyFont="1" applyFill="1"/>
    <xf numFmtId="0" fontId="4" fillId="4" borderId="0" xfId="0" applyFont="1" applyFill="1"/>
    <xf numFmtId="2" fontId="6" fillId="4" borderId="2" xfId="0" applyNumberFormat="1" applyFont="1" applyFill="1" applyBorder="1"/>
    <xf numFmtId="164" fontId="6" fillId="5" borderId="2" xfId="0" applyNumberFormat="1" applyFont="1" applyFill="1" applyBorder="1" applyProtection="1">
      <protection locked="0"/>
    </xf>
    <xf numFmtId="165" fontId="6" fillId="4" borderId="2" xfId="0" applyNumberFormat="1" applyFont="1" applyFill="1" applyBorder="1"/>
    <xf numFmtId="166" fontId="6" fillId="4" borderId="2" xfId="0" applyNumberFormat="1" applyFont="1" applyFill="1" applyBorder="1" applyAlignment="1">
      <alignment horizontal="center" vertical="center"/>
    </xf>
    <xf numFmtId="166" fontId="6" fillId="4" borderId="2" xfId="0" applyNumberFormat="1" applyFont="1" applyFill="1" applyBorder="1"/>
    <xf numFmtId="167" fontId="6" fillId="4" borderId="2" xfId="0" applyNumberFormat="1" applyFont="1" applyFill="1" applyBorder="1" applyAlignment="1">
      <alignment horizontal="right"/>
    </xf>
    <xf numFmtId="0" fontId="8" fillId="4" borderId="4" xfId="0" applyFont="1" applyFill="1" applyBorder="1" applyAlignment="1">
      <alignment horizontal="right"/>
    </xf>
    <xf numFmtId="168" fontId="9" fillId="4" borderId="0" xfId="0" applyNumberFormat="1" applyFont="1" applyFill="1" applyAlignment="1">
      <alignment horizontal="right"/>
    </xf>
    <xf numFmtId="0" fontId="7" fillId="3" borderId="0" xfId="0" applyFont="1" applyFill="1"/>
    <xf numFmtId="0" fontId="6" fillId="4" borderId="5" xfId="0" applyFont="1" applyFill="1" applyBorder="1" applyAlignment="1">
      <alignment horizontal="right"/>
    </xf>
    <xf numFmtId="49" fontId="6" fillId="4" borderId="0" xfId="0" applyNumberFormat="1" applyFont="1" applyFill="1"/>
    <xf numFmtId="0" fontId="13" fillId="4" borderId="6" xfId="0" applyFont="1" applyFill="1" applyBorder="1" applyAlignment="1">
      <alignment horizontal="right" vertical="top"/>
    </xf>
    <xf numFmtId="14" fontId="6" fillId="4" borderId="0" xfId="0" applyNumberFormat="1" applyFont="1" applyFill="1"/>
    <xf numFmtId="0" fontId="6" fillId="4" borderId="1" xfId="0" applyFont="1" applyFill="1" applyBorder="1"/>
    <xf numFmtId="2" fontId="6" fillId="4" borderId="1" xfId="0" applyNumberFormat="1" applyFont="1" applyFill="1" applyBorder="1"/>
    <xf numFmtId="164" fontId="6" fillId="5" borderId="7" xfId="0" applyNumberFormat="1" applyFont="1" applyFill="1" applyBorder="1" applyProtection="1">
      <protection locked="0"/>
    </xf>
    <xf numFmtId="165" fontId="6" fillId="4" borderId="1" xfId="0" applyNumberFormat="1" applyFont="1" applyFill="1" applyBorder="1"/>
    <xf numFmtId="166" fontId="6" fillId="4" borderId="6" xfId="0" applyNumberFormat="1" applyFont="1" applyFill="1" applyBorder="1" applyAlignment="1">
      <alignment horizontal="center" vertical="center"/>
    </xf>
    <xf numFmtId="167" fontId="6" fillId="4" borderId="1" xfId="0" applyNumberFormat="1" applyFont="1" applyFill="1" applyBorder="1" applyAlignment="1">
      <alignment horizontal="right"/>
    </xf>
    <xf numFmtId="0" fontId="6" fillId="4" borderId="5" xfId="0" applyFont="1" applyFill="1" applyBorder="1"/>
    <xf numFmtId="2" fontId="3" fillId="5" borderId="6" xfId="0" applyNumberFormat="1" applyFont="1" applyFill="1" applyBorder="1" applyAlignment="1" applyProtection="1">
      <alignment horizontal="center"/>
      <protection locked="0"/>
    </xf>
    <xf numFmtId="164" fontId="6" fillId="4" borderId="7" xfId="0" applyNumberFormat="1" applyFont="1" applyFill="1" applyBorder="1"/>
    <xf numFmtId="165" fontId="3" fillId="5" borderId="6" xfId="0" applyNumberFormat="1" applyFont="1" applyFill="1" applyBorder="1" applyAlignment="1" applyProtection="1">
      <alignment horizontal="center"/>
      <protection locked="0"/>
    </xf>
    <xf numFmtId="166" fontId="6" fillId="4" borderId="1" xfId="0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64" fontId="6" fillId="4" borderId="6" xfId="0" applyNumberFormat="1" applyFont="1" applyFill="1" applyBorder="1"/>
    <xf numFmtId="0" fontId="9" fillId="4" borderId="0" xfId="0" applyFont="1" applyFill="1" applyAlignment="1">
      <alignment horizontal="right"/>
    </xf>
    <xf numFmtId="165" fontId="7" fillId="4" borderId="0" xfId="0" applyNumberFormat="1" applyFont="1" applyFill="1" applyAlignment="1">
      <alignment horizontal="left"/>
    </xf>
    <xf numFmtId="166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/>
    <xf numFmtId="167" fontId="8" fillId="4" borderId="2" xfId="0" applyNumberFormat="1" applyFont="1" applyFill="1" applyBorder="1" applyAlignment="1">
      <alignment horizontal="right"/>
    </xf>
    <xf numFmtId="0" fontId="14" fillId="4" borderId="0" xfId="0" applyFont="1" applyFill="1"/>
    <xf numFmtId="0" fontId="0" fillId="5" borderId="0" xfId="0" applyFill="1" applyProtection="1">
      <protection locked="0"/>
    </xf>
    <xf numFmtId="164" fontId="6" fillId="5" borderId="1" xfId="0" applyNumberFormat="1" applyFont="1" applyFill="1" applyBorder="1" applyProtection="1">
      <protection locked="0"/>
    </xf>
    <xf numFmtId="167" fontId="8" fillId="4" borderId="8" xfId="0" applyNumberFormat="1" applyFont="1" applyFill="1" applyBorder="1" applyAlignment="1">
      <alignment horizontal="right"/>
    </xf>
    <xf numFmtId="0" fontId="8" fillId="4" borderId="9" xfId="0" applyFont="1" applyFill="1" applyBorder="1" applyAlignment="1">
      <alignment horizontal="center"/>
    </xf>
    <xf numFmtId="0" fontId="6" fillId="4" borderId="6" xfId="0" applyFont="1" applyFill="1" applyBorder="1"/>
    <xf numFmtId="166" fontId="6" fillId="4" borderId="6" xfId="0" applyNumberFormat="1" applyFont="1" applyFill="1" applyBorder="1"/>
    <xf numFmtId="167" fontId="8" fillId="4" borderId="11" xfId="0" applyNumberFormat="1" applyFont="1" applyFill="1" applyBorder="1" applyAlignment="1">
      <alignment horizontal="right"/>
    </xf>
    <xf numFmtId="0" fontId="8" fillId="4" borderId="3" xfId="0" applyFont="1" applyFill="1" applyBorder="1" applyAlignment="1">
      <alignment horizontal="center"/>
    </xf>
    <xf numFmtId="168" fontId="8" fillId="4" borderId="0" xfId="0" applyNumberFormat="1" applyFont="1" applyFill="1"/>
    <xf numFmtId="0" fontId="6" fillId="4" borderId="4" xfId="0" applyFont="1" applyFill="1" applyBorder="1" applyAlignment="1">
      <alignment horizontal="right"/>
    </xf>
    <xf numFmtId="168" fontId="9" fillId="4" borderId="0" xfId="0" applyNumberFormat="1" applyFont="1" applyFill="1"/>
    <xf numFmtId="164" fontId="6" fillId="5" borderId="2" xfId="0" applyNumberFormat="1" applyFont="1" applyFill="1" applyBorder="1" applyAlignment="1" applyProtection="1">
      <alignment horizontal="right"/>
      <protection locked="0"/>
    </xf>
    <xf numFmtId="168" fontId="6" fillId="4" borderId="0" xfId="0" applyNumberFormat="1" applyFont="1" applyFill="1"/>
    <xf numFmtId="164" fontId="6" fillId="5" borderId="2" xfId="0" applyNumberFormat="1" applyFont="1" applyFill="1" applyBorder="1" applyAlignment="1">
      <alignment horizontal="right"/>
    </xf>
    <xf numFmtId="164" fontId="6" fillId="4" borderId="0" xfId="0" applyNumberFormat="1" applyFont="1" applyFill="1" applyAlignment="1">
      <alignment horizontal="right"/>
    </xf>
    <xf numFmtId="0" fontId="0" fillId="4" borderId="0" xfId="0" applyFill="1" applyAlignment="1">
      <alignment vertical="center"/>
    </xf>
    <xf numFmtId="0" fontId="0" fillId="3" borderId="0" xfId="0" applyFill="1" applyAlignment="1">
      <alignment vertical="center"/>
    </xf>
    <xf numFmtId="0" fontId="13" fillId="4" borderId="2" xfId="0" applyFont="1" applyFill="1" applyBorder="1" applyAlignment="1">
      <alignment vertical="center" wrapText="1"/>
    </xf>
    <xf numFmtId="2" fontId="13" fillId="4" borderId="2" xfId="0" applyNumberFormat="1" applyFont="1" applyFill="1" applyBorder="1" applyAlignment="1">
      <alignment horizontal="right" vertical="center"/>
    </xf>
    <xf numFmtId="164" fontId="13" fillId="5" borderId="2" xfId="0" applyNumberFormat="1" applyFont="1" applyFill="1" applyBorder="1" applyAlignment="1">
      <alignment vertical="center"/>
    </xf>
    <xf numFmtId="164" fontId="13" fillId="4" borderId="0" xfId="0" applyNumberFormat="1" applyFont="1" applyFill="1" applyAlignment="1">
      <alignment horizontal="right" vertical="center"/>
    </xf>
    <xf numFmtId="165" fontId="13" fillId="4" borderId="2" xfId="0" applyNumberFormat="1" applyFont="1" applyFill="1" applyBorder="1" applyAlignment="1">
      <alignment horizontal="right" vertical="center"/>
    </xf>
    <xf numFmtId="2" fontId="13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16" fillId="4" borderId="0" xfId="0" applyFont="1" applyFill="1" applyAlignment="1">
      <alignment vertical="center"/>
    </xf>
    <xf numFmtId="167" fontId="17" fillId="4" borderId="2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168" fontId="6" fillId="4" borderId="0" xfId="0" applyNumberFormat="1" applyFont="1" applyFill="1" applyAlignment="1">
      <alignment vertical="center"/>
    </xf>
    <xf numFmtId="0" fontId="7" fillId="3" borderId="0" xfId="0" applyFont="1" applyFill="1" applyAlignment="1">
      <alignment vertical="center" wrapText="1"/>
    </xf>
    <xf numFmtId="0" fontId="18" fillId="4" borderId="0" xfId="0" applyFont="1" applyFill="1"/>
    <xf numFmtId="165" fontId="6" fillId="4" borderId="0" xfId="0" applyNumberFormat="1" applyFont="1" applyFill="1"/>
    <xf numFmtId="169" fontId="6" fillId="4" borderId="0" xfId="0" applyNumberFormat="1" applyFont="1" applyFill="1"/>
    <xf numFmtId="166" fontId="6" fillId="4" borderId="0" xfId="0" applyNumberFormat="1" applyFont="1" applyFill="1" applyAlignment="1">
      <alignment horizontal="center" vertical="center"/>
    </xf>
    <xf numFmtId="166" fontId="6" fillId="4" borderId="0" xfId="0" applyNumberFormat="1" applyFont="1" applyFill="1"/>
    <xf numFmtId="167" fontId="8" fillId="4" borderId="0" xfId="0" applyNumberFormat="1" applyFont="1" applyFill="1" applyAlignment="1">
      <alignment horizontal="right"/>
    </xf>
    <xf numFmtId="165" fontId="6" fillId="4" borderId="2" xfId="0" applyNumberFormat="1" applyFont="1" applyFill="1" applyBorder="1" applyAlignment="1">
      <alignment horizontal="right"/>
    </xf>
    <xf numFmtId="164" fontId="6" fillId="0" borderId="0" xfId="0" applyNumberFormat="1" applyFont="1"/>
    <xf numFmtId="165" fontId="6" fillId="0" borderId="2" xfId="0" applyNumberFormat="1" applyFont="1" applyBorder="1" applyAlignment="1">
      <alignment horizontal="right"/>
    </xf>
    <xf numFmtId="164" fontId="7" fillId="4" borderId="0" xfId="0" applyNumberFormat="1" applyFont="1" applyFill="1" applyAlignment="1">
      <alignment horizontal="right"/>
    </xf>
    <xf numFmtId="2" fontId="8" fillId="4" borderId="0" xfId="0" applyNumberFormat="1" applyFont="1" applyFill="1" applyAlignment="1">
      <alignment horizontal="center" vertical="center"/>
    </xf>
    <xf numFmtId="165" fontId="3" fillId="4" borderId="13" xfId="0" applyNumberFormat="1" applyFont="1" applyFill="1" applyBorder="1"/>
    <xf numFmtId="165" fontId="3" fillId="4" borderId="14" xfId="0" applyNumberFormat="1" applyFont="1" applyFill="1" applyBorder="1"/>
    <xf numFmtId="165" fontId="3" fillId="4" borderId="0" xfId="0" applyNumberFormat="1" applyFont="1" applyFill="1"/>
    <xf numFmtId="0" fontId="2" fillId="4" borderId="2" xfId="0" applyFont="1" applyFill="1" applyBorder="1"/>
    <xf numFmtId="165" fontId="2" fillId="4" borderId="2" xfId="0" applyNumberFormat="1" applyFont="1" applyFill="1" applyBorder="1"/>
    <xf numFmtId="2" fontId="6" fillId="4" borderId="0" xfId="0" applyNumberFormat="1" applyFont="1" applyFill="1"/>
    <xf numFmtId="0" fontId="0" fillId="4" borderId="0" xfId="0" applyFill="1" applyAlignment="1">
      <alignment horizontal="right"/>
    </xf>
    <xf numFmtId="168" fontId="0" fillId="4" borderId="0" xfId="0" applyNumberFormat="1" applyFill="1"/>
  </cellXfs>
  <cellStyles count="5">
    <cellStyle name="Standard" xfId="0" builtinId="0"/>
    <cellStyle name="Unbenannt1" xfId="1" xr:uid="{00000000-0005-0000-0000-000006000000}"/>
    <cellStyle name="Unbenannt2" xfId="2" xr:uid="{00000000-0005-0000-0000-000007000000}"/>
    <cellStyle name="Unbenannt3" xfId="3" xr:uid="{00000000-0005-0000-0000-000008000000}"/>
    <cellStyle name="Unbenannt4" xfId="4" xr:uid="{00000000-0005-0000-0000-000009000000}"/>
  </cellStyles>
  <dxfs count="13">
    <dxf>
      <font>
        <color rgb="FFFFFFFF"/>
        <name val="Arial"/>
        <family val="2"/>
      </font>
    </dxf>
    <dxf>
      <font>
        <color rgb="FFFFFFFF"/>
        <name val="Arial"/>
        <family val="2"/>
      </font>
    </dxf>
    <dxf>
      <font>
        <color rgb="FFFFFFFF"/>
        <name val="Arial"/>
        <family val="2"/>
      </font>
    </dxf>
    <dxf>
      <font>
        <color rgb="FFFFFFFF"/>
        <name val="Arial"/>
        <family val="2"/>
      </font>
    </dxf>
    <dxf>
      <font>
        <color rgb="FFFFFFFF"/>
        <name val="Arial"/>
        <family val="2"/>
      </font>
    </dxf>
    <dxf>
      <font>
        <b/>
        <i val="0"/>
        <sz val="8"/>
        <name val="Arial"/>
        <family val="2"/>
      </font>
      <fill>
        <patternFill>
          <bgColor rgb="FFFF0000"/>
        </patternFill>
      </fill>
    </dxf>
    <dxf>
      <font>
        <b/>
        <i val="0"/>
        <sz val="8"/>
        <name val="Arial"/>
        <family val="2"/>
      </font>
      <fill>
        <patternFill>
          <bgColor rgb="FFFF0000"/>
        </patternFill>
      </fill>
    </dxf>
    <dxf>
      <font>
        <b/>
        <i val="0"/>
        <sz val="8"/>
        <name val="Arial"/>
        <family val="2"/>
      </font>
      <fill>
        <patternFill>
          <bgColor rgb="FFFF0000"/>
        </patternFill>
      </fill>
    </dxf>
    <dxf>
      <font>
        <b/>
        <i val="0"/>
        <sz val="8"/>
        <name val="Arial"/>
        <family val="2"/>
      </font>
      <fill>
        <patternFill>
          <bgColor rgb="FFFF0000"/>
        </patternFill>
      </fill>
    </dxf>
    <dxf>
      <font>
        <b/>
        <i val="0"/>
        <sz val="8"/>
        <name val="Arial"/>
        <family val="2"/>
      </font>
      <fill>
        <patternFill>
          <bgColor rgb="FFFF0000"/>
        </patternFill>
      </fill>
    </dxf>
    <dxf>
      <font>
        <b/>
        <i val="0"/>
        <sz val="8"/>
        <name val="Arial"/>
        <family val="2"/>
      </font>
      <fill>
        <patternFill>
          <bgColor rgb="FFFF0000"/>
        </patternFill>
      </fill>
    </dxf>
    <dxf>
      <font>
        <b/>
        <i val="0"/>
        <sz val="8"/>
        <name val="Arial"/>
        <family val="2"/>
      </font>
      <fill>
        <patternFill>
          <bgColor rgb="FFFF0000"/>
        </patternFill>
      </fill>
    </dxf>
    <dxf>
      <font>
        <b/>
        <i val="0"/>
        <sz val="8"/>
        <name val="Arial"/>
        <family val="2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A6EB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201600</xdr:colOff>
      <xdr:row>1</xdr:row>
      <xdr:rowOff>131760</xdr:rowOff>
    </xdr:from>
    <xdr:to>
      <xdr:col>3</xdr:col>
      <xdr:colOff>2143440</xdr:colOff>
      <xdr:row>1</xdr:row>
      <xdr:rowOff>664200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51960" y="355320"/>
          <a:ext cx="2169720" cy="532440"/>
        </a:xfrm>
        <a:prstGeom prst="rect">
          <a:avLst/>
        </a:prstGeom>
        <a:ln w="0">
          <a:noFill/>
        </a:ln>
      </xdr:spPr>
    </xdr:pic>
    <xdr:clientData/>
  </xdr:twoCellAnchor>
  <xdr:twoCellAnchor editAs="absolute">
    <xdr:from>
      <xdr:col>33</xdr:col>
      <xdr:colOff>58320</xdr:colOff>
      <xdr:row>1</xdr:row>
      <xdr:rowOff>123840</xdr:rowOff>
    </xdr:from>
    <xdr:to>
      <xdr:col>35</xdr:col>
      <xdr:colOff>815400</xdr:colOff>
      <xdr:row>1</xdr:row>
      <xdr:rowOff>648360</xdr:rowOff>
    </xdr:to>
    <xdr:pic>
      <xdr:nvPicPr>
        <xdr:cNvPr id="3" name="Bild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809200" y="347400"/>
          <a:ext cx="1881000" cy="5245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7"/>
  <sheetViews>
    <sheetView tabSelected="1" topLeftCell="B1" zoomScale="110" zoomScaleNormal="110" workbookViewId="0">
      <selection activeCell="F15" sqref="F15"/>
    </sheetView>
  </sheetViews>
  <sheetFormatPr baseColWidth="10" defaultColWidth="11.5546875" defaultRowHeight="13.2" x14ac:dyDescent="0.25"/>
  <cols>
    <col min="1" max="1" width="5" style="14" customWidth="1"/>
    <col min="2" max="2" width="1.33203125" style="14" customWidth="1"/>
    <col min="3" max="3" width="3.21875" style="14" customWidth="1"/>
    <col min="4" max="4" width="31.5546875" style="14" customWidth="1"/>
    <col min="5" max="5" width="10.77734375" style="14" customWidth="1"/>
    <col min="6" max="6" width="9.21875" style="14" customWidth="1"/>
    <col min="7" max="7" width="2.21875" style="14" customWidth="1"/>
    <col min="8" max="8" width="9.5546875" style="14" customWidth="1"/>
    <col min="9" max="9" width="9" style="14" customWidth="1"/>
    <col min="10" max="10" width="2.44140625" style="14" customWidth="1"/>
    <col min="11" max="11" width="9.33203125" style="14" customWidth="1"/>
    <col min="12" max="12" width="9.109375" style="14" customWidth="1"/>
    <col min="13" max="13" width="2.44140625" style="14" customWidth="1"/>
    <col min="14" max="14" width="10" style="14" customWidth="1"/>
    <col min="15" max="15" width="8.6640625" style="14" customWidth="1"/>
    <col min="16" max="16" width="7.33203125" style="14" hidden="1" customWidth="1"/>
    <col min="17" max="21" width="6.5546875" style="14" hidden="1" customWidth="1"/>
    <col min="22" max="22" width="7.33203125" style="14" hidden="1" customWidth="1"/>
    <col min="23" max="27" width="6.5546875" style="14" hidden="1" customWidth="1"/>
    <col min="28" max="28" width="7.33203125" style="14" hidden="1" customWidth="1"/>
    <col min="29" max="33" width="6.5546875" style="14" hidden="1" customWidth="1"/>
    <col min="34" max="34" width="2.6640625" style="14" customWidth="1"/>
    <col min="35" max="35" width="13.33203125" style="14" customWidth="1"/>
    <col min="36" max="36" width="13.6640625" style="14" customWidth="1"/>
    <col min="37" max="37" width="7.21875" style="14" hidden="1" customWidth="1"/>
    <col min="38" max="38" width="6.5546875" style="14" hidden="1" customWidth="1"/>
    <col min="39" max="39" width="2.6640625" style="14" hidden="1" customWidth="1"/>
    <col min="40" max="40" width="9.5546875" style="14" hidden="1" customWidth="1"/>
    <col min="41" max="41" width="27.21875" style="14" hidden="1" customWidth="1"/>
    <col min="42" max="42" width="3.33203125" style="14" hidden="1" customWidth="1"/>
    <col min="43" max="43" width="11" style="14" hidden="1" customWidth="1"/>
    <col min="44" max="44" width="2.6640625" style="14" customWidth="1"/>
    <col min="45" max="49" width="11.5546875" style="14"/>
    <col min="50" max="50" width="21.88671875" style="14" customWidth="1"/>
    <col min="51" max="260" width="11.5546875" style="14"/>
  </cols>
  <sheetData>
    <row r="1" spans="2:42" ht="17.55" customHeight="1" x14ac:dyDescent="0.25"/>
    <row r="2" spans="2:42" ht="68.849999999999994" customHeight="1" x14ac:dyDescent="0.25">
      <c r="B2" s="15"/>
      <c r="C2" s="15"/>
      <c r="D2" s="13" t="s">
        <v>0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P2" s="15"/>
    </row>
    <row r="3" spans="2:42" x14ac:dyDescent="0.25">
      <c r="B3" s="15"/>
      <c r="C3" s="15"/>
      <c r="D3" s="16"/>
      <c r="E3" s="12" t="s">
        <v>1</v>
      </c>
      <c r="F3" s="12"/>
      <c r="G3" s="16"/>
      <c r="H3" s="12" t="s">
        <v>2</v>
      </c>
      <c r="I3" s="12"/>
      <c r="J3" s="17"/>
      <c r="K3" s="12" t="s">
        <v>3</v>
      </c>
      <c r="L3" s="12"/>
      <c r="M3" s="17"/>
      <c r="N3" s="12" t="s">
        <v>4</v>
      </c>
      <c r="O3" s="1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5"/>
      <c r="AP3" s="15"/>
    </row>
    <row r="4" spans="2:42" x14ac:dyDescent="0.25">
      <c r="B4" s="15"/>
      <c r="C4" s="15"/>
      <c r="D4" s="19" t="s">
        <v>5</v>
      </c>
      <c r="E4" s="11" t="s">
        <v>68</v>
      </c>
      <c r="F4" s="11"/>
      <c r="G4" s="20"/>
      <c r="H4" s="11" t="s">
        <v>70</v>
      </c>
      <c r="I4" s="11"/>
      <c r="J4" s="20"/>
      <c r="K4" s="11"/>
      <c r="L4" s="11"/>
      <c r="M4" s="20"/>
      <c r="N4" s="11"/>
      <c r="O4" s="11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5"/>
      <c r="AP4" s="15"/>
    </row>
    <row r="5" spans="2:42" x14ac:dyDescent="0.25">
      <c r="B5" s="15"/>
      <c r="C5" s="15"/>
      <c r="D5" s="19" t="s">
        <v>6</v>
      </c>
      <c r="E5" s="21" t="s">
        <v>21</v>
      </c>
      <c r="F5" s="18"/>
      <c r="G5" s="18"/>
      <c r="H5" s="21" t="s">
        <v>7</v>
      </c>
      <c r="I5" s="18"/>
      <c r="J5" s="18"/>
      <c r="K5" s="21" t="s">
        <v>7</v>
      </c>
      <c r="L5" s="18"/>
      <c r="M5" s="18"/>
      <c r="N5" s="21" t="s">
        <v>7</v>
      </c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9" t="s">
        <v>8</v>
      </c>
      <c r="AI5" s="18" t="s">
        <v>9</v>
      </c>
      <c r="AJ5" s="18"/>
      <c r="AK5" s="18"/>
      <c r="AL5" s="18"/>
      <c r="AM5" s="18"/>
      <c r="AN5" s="15"/>
      <c r="AP5" s="15"/>
    </row>
    <row r="6" spans="2:42" x14ac:dyDescent="0.25">
      <c r="B6" s="15"/>
      <c r="C6" s="15"/>
      <c r="D6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9"/>
      <c r="AI6" s="18" t="s">
        <v>10</v>
      </c>
      <c r="AJ6" s="18"/>
      <c r="AK6" s="18"/>
      <c r="AL6" s="18"/>
      <c r="AM6" s="18"/>
      <c r="AN6" s="15"/>
      <c r="AP6" s="15"/>
    </row>
    <row r="7" spans="2:42" ht="20.85" customHeight="1" x14ac:dyDescent="0.25">
      <c r="B7" s="15"/>
      <c r="C7" s="15"/>
      <c r="D7" s="22" t="s">
        <v>11</v>
      </c>
      <c r="E7" s="21" t="s">
        <v>12</v>
      </c>
      <c r="F7" s="23">
        <f>IF(E7="monatlich",1.05/12,IF(E7="vierteljährlich",1.04/4,IF(E7="halbjährlich",1.03/2,1)))</f>
        <v>8.7500000000000008E-2</v>
      </c>
      <c r="G7" s="18"/>
      <c r="H7" s="18"/>
      <c r="I7" s="18"/>
      <c r="J7" s="18"/>
      <c r="K7" s="18"/>
      <c r="L7" s="18"/>
      <c r="M7" s="18"/>
      <c r="N7" s="18"/>
      <c r="O7" s="24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9"/>
      <c r="AI7" s="23" t="s">
        <v>13</v>
      </c>
      <c r="AJ7" s="18"/>
      <c r="AK7" s="18"/>
      <c r="AL7" s="18"/>
      <c r="AM7" s="18"/>
      <c r="AN7" s="15"/>
      <c r="AP7" s="15"/>
    </row>
    <row r="8" spans="2:42" x14ac:dyDescent="0.25">
      <c r="B8" s="15"/>
      <c r="C8" s="15"/>
      <c r="D8" s="22" t="s">
        <v>14</v>
      </c>
      <c r="E8" s="21" t="s">
        <v>69</v>
      </c>
      <c r="F8" s="25" t="str">
        <f>IF(E8="nein","+ 0 %","+ 15%")</f>
        <v>+ 15%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9"/>
      <c r="AI8" s="26" t="s">
        <v>16</v>
      </c>
      <c r="AJ8" s="18"/>
      <c r="AK8" s="18"/>
      <c r="AL8" s="18"/>
      <c r="AM8" s="18"/>
      <c r="AN8" s="15"/>
      <c r="AP8" s="15"/>
    </row>
    <row r="9" spans="2:42" x14ac:dyDescent="0.25">
      <c r="B9" s="15"/>
      <c r="C9" s="15"/>
      <c r="D9" s="22" t="s">
        <v>17</v>
      </c>
      <c r="E9" s="21" t="s">
        <v>15</v>
      </c>
      <c r="F9" s="25" t="str">
        <f>IF(E9="nein","+ 0 %","+ 11,1111%")</f>
        <v>+ 0 %</v>
      </c>
      <c r="G9" s="23">
        <f>1+IF(E9="nein",0,0.111111)</f>
        <v>1</v>
      </c>
      <c r="H9" s="27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9"/>
      <c r="AI9" s="18"/>
      <c r="AJ9" s="15"/>
      <c r="AK9" s="18"/>
      <c r="AL9" s="18"/>
      <c r="AM9" s="18"/>
      <c r="AN9" s="15"/>
      <c r="AP9" s="15"/>
    </row>
    <row r="10" spans="2:42" ht="6.45" customHeight="1" x14ac:dyDescent="0.25">
      <c r="B10" s="15"/>
      <c r="C10" s="15"/>
      <c r="D10" s="18"/>
      <c r="E10" s="10" t="str">
        <f>IF(AND(E5="",SUM(F12:F33)&gt;0),"Gefahrengr. auswählen!","")</f>
        <v/>
      </c>
      <c r="F10" s="10"/>
      <c r="G10" s="18"/>
      <c r="H10" s="10" t="str">
        <f>IF(AND(H5="",SUM(I12:I33)&gt;0),"Gefahrengr. auswählen!","")</f>
        <v/>
      </c>
      <c r="I10" s="10"/>
      <c r="J10" s="18"/>
      <c r="K10" s="10" t="str">
        <f>IF(AND(K5="",SUM(L12:L33)&gt;0),"Gefahrengr. auswählen!","")</f>
        <v/>
      </c>
      <c r="L10" s="10"/>
      <c r="M10" s="18"/>
      <c r="N10" s="10" t="str">
        <f>IF(AND(N5="",SUM(O12:O33)&gt;0),"Gefahrengr. auswählen!","")</f>
        <v/>
      </c>
      <c r="O10" s="10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/>
      <c r="AJ10" s="15"/>
      <c r="AK10" s="15"/>
      <c r="AL10" s="15"/>
      <c r="AM10" s="18"/>
      <c r="AN10" s="15"/>
      <c r="AP10" s="15"/>
    </row>
    <row r="11" spans="2:42" x14ac:dyDescent="0.25">
      <c r="B11" s="15"/>
      <c r="C11" s="15"/>
      <c r="D11" s="28" t="s">
        <v>18</v>
      </c>
      <c r="E11" s="29" t="s">
        <v>19</v>
      </c>
      <c r="F11" s="29" t="s">
        <v>20</v>
      </c>
      <c r="G11" s="17"/>
      <c r="H11" s="29" t="s">
        <v>19</v>
      </c>
      <c r="I11" s="29" t="s">
        <v>20</v>
      </c>
      <c r="J11" s="17"/>
      <c r="K11" s="29" t="s">
        <v>19</v>
      </c>
      <c r="L11" s="29" t="s">
        <v>20</v>
      </c>
      <c r="M11" s="17"/>
      <c r="N11" s="29" t="s">
        <v>19</v>
      </c>
      <c r="O11" s="29" t="s">
        <v>20</v>
      </c>
      <c r="P11" s="30" t="s">
        <v>7</v>
      </c>
      <c r="Q11" s="30"/>
      <c r="R11" s="30"/>
      <c r="S11" s="30"/>
      <c r="T11" s="30"/>
      <c r="U11" s="30"/>
      <c r="V11" s="30" t="s">
        <v>21</v>
      </c>
      <c r="W11" s="30"/>
      <c r="X11" s="30"/>
      <c r="Y11" s="30"/>
      <c r="Z11" s="30"/>
      <c r="AA11" s="30"/>
      <c r="AB11" s="30" t="s">
        <v>22</v>
      </c>
      <c r="AC11" s="30"/>
      <c r="AD11" s="30"/>
      <c r="AE11" s="30"/>
      <c r="AF11" s="30"/>
      <c r="AG11" s="30"/>
      <c r="AH11" s="31"/>
      <c r="AI11" s="29" t="s">
        <v>23</v>
      </c>
      <c r="AJ11" s="32"/>
      <c r="AK11" s="33"/>
      <c r="AL11" s="23" t="s">
        <v>24</v>
      </c>
      <c r="AM11" s="23">
        <v>0</v>
      </c>
      <c r="AN11" s="34">
        <f>((100-$AM$11)/100)</f>
        <v>1</v>
      </c>
      <c r="AP11" s="15"/>
    </row>
    <row r="12" spans="2:42" x14ac:dyDescent="0.25">
      <c r="B12" s="15"/>
      <c r="C12" s="15"/>
      <c r="D12" s="22" t="str">
        <f>IF(OR(F12&gt;AI12,I12&gt;AI12,L12&gt;AI12,O12&gt;AI12),"Höchstversicherungssumme beachten!",AO12)</f>
        <v>Unfall-Tod</v>
      </c>
      <c r="E12" s="35">
        <f>(IF(E$5="A",((F12*$P12)/1000)*$AL$12,IF(E$5="B",((F12*$V12)/1000)*$AL$12,IF(E$5="K",((F12*$AB12)/1000)*$AL$12,IF(F12="",0,0)))))*$F$7*((100-$AM$11)/100*E$39*$G$9)</f>
        <v>0.58592500000000003</v>
      </c>
      <c r="F12" s="36">
        <v>5000</v>
      </c>
      <c r="G12" s="24"/>
      <c r="H12" s="37">
        <f>(IF(H$5="A",((I12*$P12)/1000)*$AL$12,IF(H$5="B",((I12*$V12)/1000)*$AL$12,IF(H$5="K",((I12*$AB12)/1000)*$AL$12,IF(I12="",0,0)))))*$F$7*((100-$AM$11)/100*H$39*$G$9)</f>
        <v>0.30704999999999999</v>
      </c>
      <c r="I12" s="36">
        <v>5000</v>
      </c>
      <c r="J12" s="24"/>
      <c r="K12" s="37">
        <f>(IF(K$5="A",((L12*$P12)/1000)*$AL$12,IF(K$5="B",((L12*$V12)/1000)*$AL$12,IF(K$5="K",((L12*$AB12)/1000)*$AL$12,IF(L12="",0,0)))))*$F$7*((100-$AM$11)/100*K$39*$G$9)</f>
        <v>0.30704999999999999</v>
      </c>
      <c r="L12" s="36">
        <v>5000</v>
      </c>
      <c r="M12" s="24"/>
      <c r="N12" s="37">
        <f>(IF(N$5="A",((O12*$P12)/1000)*$AL$12,IF(N$5="B",((O12*$V12)/1000)*$AL$12,IF(N$5="K",((O12*$AB12)/1000)*$AL$12,IF(O12="",0,0)))))*$F$7*((100-$AM$11)/100*N$39*$G$9)</f>
        <v>0.30704999999999999</v>
      </c>
      <c r="O12" s="36">
        <v>5000</v>
      </c>
      <c r="P12" s="38">
        <f>0.0534/1.05*12</f>
        <v>0.61028571428571432</v>
      </c>
      <c r="Q12" s="38"/>
      <c r="R12" s="38"/>
      <c r="S12" s="38"/>
      <c r="T12" s="38"/>
      <c r="U12" s="38"/>
      <c r="V12" s="39">
        <f>0.1019/1.05*12</f>
        <v>1.1645714285714286</v>
      </c>
      <c r="W12" s="39"/>
      <c r="X12" s="39"/>
      <c r="Y12" s="39"/>
      <c r="Z12" s="39"/>
      <c r="AA12" s="39"/>
      <c r="AB12" s="39">
        <f>0.0534/1.05*12</f>
        <v>0.61028571428571432</v>
      </c>
      <c r="AC12" s="39"/>
      <c r="AD12" s="39"/>
      <c r="AE12" s="39"/>
      <c r="AF12" s="39"/>
      <c r="AG12" s="39"/>
      <c r="AH12" s="23"/>
      <c r="AI12" s="40">
        <v>100000</v>
      </c>
      <c r="AJ12" s="41" t="s">
        <v>25</v>
      </c>
      <c r="AK12" s="42"/>
      <c r="AL12" s="23">
        <v>1</v>
      </c>
      <c r="AM12" s="34"/>
      <c r="AN12" s="34"/>
      <c r="AO12" s="43" t="s">
        <v>26</v>
      </c>
      <c r="AP12" s="32"/>
    </row>
    <row r="13" spans="2:42" x14ac:dyDescent="0.25">
      <c r="B13" s="15"/>
      <c r="C13" s="15"/>
      <c r="D13" s="44" t="s">
        <v>27</v>
      </c>
      <c r="E13" s="9"/>
      <c r="F13" s="9"/>
      <c r="G13" s="24"/>
      <c r="H13" s="9"/>
      <c r="I13" s="9"/>
      <c r="J13" s="45"/>
      <c r="K13" s="9"/>
      <c r="L13" s="9"/>
      <c r="M13" s="45"/>
      <c r="N13" s="9"/>
      <c r="O13" s="9"/>
      <c r="P13" s="38"/>
      <c r="Q13" s="38"/>
      <c r="R13" s="38"/>
      <c r="S13" s="38"/>
      <c r="T13" s="38"/>
      <c r="U13" s="38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23"/>
      <c r="AI13" s="40"/>
      <c r="AJ13" s="32"/>
      <c r="AK13" s="42"/>
      <c r="AL13" s="23"/>
      <c r="AM13" s="34"/>
      <c r="AN13" s="34"/>
      <c r="AO13" s="43"/>
      <c r="AP13" s="32"/>
    </row>
    <row r="14" spans="2:42" x14ac:dyDescent="0.25">
      <c r="B14" s="15"/>
      <c r="C14" s="15"/>
      <c r="D14" s="46" t="s">
        <v>28</v>
      </c>
      <c r="E14" s="8"/>
      <c r="F14" s="8"/>
      <c r="G14" s="24"/>
      <c r="H14" s="8"/>
      <c r="I14" s="8"/>
      <c r="J14" s="47"/>
      <c r="K14" s="8"/>
      <c r="L14" s="8"/>
      <c r="M14" s="47"/>
      <c r="N14" s="8"/>
      <c r="O14" s="8"/>
      <c r="P14" s="38"/>
      <c r="Q14" s="38"/>
      <c r="R14" s="38"/>
      <c r="S14" s="38"/>
      <c r="T14" s="38"/>
      <c r="U14" s="38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23"/>
      <c r="AI14" s="40"/>
      <c r="AJ14" s="32"/>
      <c r="AK14" s="42"/>
      <c r="AL14" s="23"/>
      <c r="AM14" s="34"/>
      <c r="AN14" s="34"/>
      <c r="AO14" s="43"/>
      <c r="AP14" s="32"/>
    </row>
    <row r="15" spans="2:42" x14ac:dyDescent="0.25">
      <c r="B15" s="15"/>
      <c r="C15" s="15"/>
      <c r="D15" s="48" t="str">
        <f>IF(OR(F15&gt;AI15,I15&gt;AI15,L15&gt;AI15,O15&gt;AI15),"Höchstversicherungssumme beachten!",AO15)</f>
        <v>Invalidität – Grundsumme</v>
      </c>
      <c r="E15" s="49">
        <f>(IF(E$5="A",((F15*HLOOKUP(E16,$P$15:$U$16,2,0))/1000)*$AL$12,IF(E$5="B",((F15*HLOOKUP(E16,$V$15:$AA$16,2,0))/1000)*$AL$12,IF(E$5="K",((F15*HLOOKUP(E16,$AB$15:$AG$16,2,0))/1000)*$AL$12,IF(F15="",0,0)))))*$F$7*((100-$AM$11)/100*E$39*$G$9)</f>
        <v>12.293499999999998</v>
      </c>
      <c r="F15" s="50">
        <v>50000</v>
      </c>
      <c r="G15" s="24"/>
      <c r="H15" s="51">
        <f>(IF(H$5="A",((I15*HLOOKUP(H16,$P$15:$U$16,2,0))/1000)*$AL$12,IF(H$5="B",((I15*HLOOKUP(H16,$V$15:$AA$16,2,0))/1000)*$AL$12,IF(H$5="K",((I15*HLOOKUP(H16,$AB$15:$AG$16,2,0))/1000)*$AL$12,IF(I15="",0,0)))))*$F$7*((100-$AM$11)/100*H$39*$G$9)</f>
        <v>10.085499999999998</v>
      </c>
      <c r="I15" s="50">
        <v>100000</v>
      </c>
      <c r="J15" s="24"/>
      <c r="K15" s="51">
        <f>(IF(K$5="A",((L15*HLOOKUP(K16,$P$15:$U$16,2,0))/1000)*$AL$12,IF(K$5="B",((L15*HLOOKUP(K16,$V$15:$AA$16,2,0))/1000)*$AL$12,IF(K$5="K",((L15*HLOOKUP(K16,$AB$15:$AG$16,2,0))/1000)*$AL$12,IF(L15="",0,0)))))*$F$7*((100-$AM$11)/100*K$39*$G$9)</f>
        <v>11.0975</v>
      </c>
      <c r="L15" s="50">
        <v>100000</v>
      </c>
      <c r="M15" s="24"/>
      <c r="N15" s="51">
        <f>(IF(N$5="A",((O15*HLOOKUP(N16,$P$15:$U$16,2,0))/1000)*$AL$12,IF(N$5="B",((O15*HLOOKUP(N16,$V$15:$AA$16,2,0))/1000)*$AL$12,IF(N$5="K",((O15*HLOOKUP(N16,$AB$15:$AG$16,2,0))/1000)*$AL$12,IF(O15="",0,0)))))*$F$7*((100-$AM$11)/100*N$39*$G$9)</f>
        <v>11.0975</v>
      </c>
      <c r="O15" s="50">
        <v>100000</v>
      </c>
      <c r="P15" s="52" t="s">
        <v>29</v>
      </c>
      <c r="Q15" s="52" t="s">
        <v>30</v>
      </c>
      <c r="R15" s="52" t="s">
        <v>31</v>
      </c>
      <c r="S15" s="52" t="s">
        <v>32</v>
      </c>
      <c r="T15" s="52" t="s">
        <v>33</v>
      </c>
      <c r="U15" s="52" t="s">
        <v>34</v>
      </c>
      <c r="V15" s="52" t="s">
        <v>29</v>
      </c>
      <c r="W15" s="52" t="s">
        <v>30</v>
      </c>
      <c r="X15" s="52" t="s">
        <v>31</v>
      </c>
      <c r="Y15" s="52" t="s">
        <v>32</v>
      </c>
      <c r="Z15" s="52" t="s">
        <v>33</v>
      </c>
      <c r="AA15" s="52" t="s">
        <v>34</v>
      </c>
      <c r="AB15" s="52" t="s">
        <v>29</v>
      </c>
      <c r="AC15" s="52" t="s">
        <v>30</v>
      </c>
      <c r="AD15" s="52" t="s">
        <v>31</v>
      </c>
      <c r="AE15" s="52" t="s">
        <v>32</v>
      </c>
      <c r="AF15" s="52" t="s">
        <v>33</v>
      </c>
      <c r="AG15" s="52" t="s">
        <v>34</v>
      </c>
      <c r="AH15" s="23"/>
      <c r="AI15" s="53">
        <v>300000</v>
      </c>
      <c r="AJ15" s="32"/>
      <c r="AK15" s="42"/>
      <c r="AL15" s="23"/>
      <c r="AM15" s="34"/>
      <c r="AN15" s="34"/>
      <c r="AO15" s="43" t="s">
        <v>35</v>
      </c>
      <c r="AP15" s="32"/>
    </row>
    <row r="16" spans="2:42" x14ac:dyDescent="0.25">
      <c r="B16" s="15"/>
      <c r="C16" s="15"/>
      <c r="D16" s="54" t="str">
        <f>IF(OR(F16&gt;AI16,I16&gt;AI16,L16&gt;AI16,O16&gt;AI16),"Höchstversicherungssumme beachten!",AO16)</f>
        <v xml:space="preserve">  Leistung bei Vollinvalidität   (Prog. ausw.)</v>
      </c>
      <c r="E16" s="55" t="s">
        <v>34</v>
      </c>
      <c r="F16" s="56">
        <f>IF(F15=0,0,IF(E16="ohne Prog.",F15*1,IF(E16="P225",F15*2.25,IF(E16="P300",F15*3,IF(E16="P350",F15*3.5,IF(E16="P500",F15*5,IF(E16="P1000",F15*10,"FEHLER")))))))</f>
        <v>500000</v>
      </c>
      <c r="G16" s="24"/>
      <c r="H16" s="57" t="s">
        <v>32</v>
      </c>
      <c r="I16" s="56">
        <f>IF(I15=0,0,IF(H16="ohne Prog.",I15*1,IF(H16="P225",I15*1.25,IF(H16="P300",I15*3,IF(H16="P350",I15*3.5,IF(H16="P500",I15*5,IF(H16="P1000",I15*10,"FEHLER")))))))</f>
        <v>350000</v>
      </c>
      <c r="J16" s="24"/>
      <c r="K16" s="57" t="s">
        <v>33</v>
      </c>
      <c r="L16" s="56">
        <f>IF(L15=0,0,IF(K16="ohne Prog.",L15*1,IF(K16="P225",L15*2.25,IF(K16="P300",L15*3,IF(K16="P350",L15*3.5,IF(K16="P500",L15*5,IF(K16="P1000",L15*10,"FEHLER")))))))</f>
        <v>500000</v>
      </c>
      <c r="M16" s="24"/>
      <c r="N16" s="57" t="s">
        <v>33</v>
      </c>
      <c r="O16" s="56">
        <f>IF(O15=0,0,IF(N16="ohne Prog.",O15*1,IF(N16="P225",O15*2.25,IF(N16="P300",O15*3,IF(N16="P350",O15*3.5,IF(N16="P500",O15*5,IF(N16="P1000",O15*10,"FEHLER")))))))</f>
        <v>500000</v>
      </c>
      <c r="P16" s="58">
        <f>0.0541/1.05*12</f>
        <v>0.61828571428571422</v>
      </c>
      <c r="Q16" s="58">
        <f>0.0702/1.05*12</f>
        <v>0.80228571428571427</v>
      </c>
      <c r="R16" s="58">
        <f>0.0804/1.05*12</f>
        <v>0.91885714285714282</v>
      </c>
      <c r="S16" s="58">
        <f>0.0877/1.05*12</f>
        <v>1.0022857142857142</v>
      </c>
      <c r="T16" s="58">
        <f>0.0965/1.05*12</f>
        <v>1.1028571428571428</v>
      </c>
      <c r="U16" s="58">
        <f>0.1157/1.05*12</f>
        <v>1.3222857142857143</v>
      </c>
      <c r="V16" s="59">
        <f>0.106/1.05*12</f>
        <v>1.2114285714285713</v>
      </c>
      <c r="W16" s="59">
        <f>0.1373/1.05*12</f>
        <v>1.5691428571428574</v>
      </c>
      <c r="X16" s="59">
        <f>0.1587/1.05*12</f>
        <v>1.8137142857142856</v>
      </c>
      <c r="Y16" s="59">
        <f>0.1726/1.05*12</f>
        <v>1.9725714285714284</v>
      </c>
      <c r="Z16" s="59">
        <f>0.1891/1.05*12</f>
        <v>2.161142857142857</v>
      </c>
      <c r="AA16" s="59">
        <f>0.2138/1.05*12</f>
        <v>2.4434285714285711</v>
      </c>
      <c r="AB16" s="59">
        <f>0.0541/1.05*12</f>
        <v>0.61828571428571422</v>
      </c>
      <c r="AC16" s="59">
        <f>0.0702/1.05*12</f>
        <v>0.80228571428571427</v>
      </c>
      <c r="AD16" s="59">
        <f>0.0804/1.05*12</f>
        <v>0.91885714285714282</v>
      </c>
      <c r="AE16" s="59">
        <f>0.0877/1.05*12</f>
        <v>1.0022857142857142</v>
      </c>
      <c r="AF16" s="59">
        <f>0.0965/1.05*12</f>
        <v>1.1028571428571428</v>
      </c>
      <c r="AG16" s="59">
        <f>0.1157/1.05*12</f>
        <v>1.3222857142857143</v>
      </c>
      <c r="AH16" s="23"/>
      <c r="AI16" s="60">
        <v>750000</v>
      </c>
      <c r="AJ16" s="32"/>
      <c r="AK16" s="61"/>
      <c r="AL16" s="7" t="s">
        <v>36</v>
      </c>
      <c r="AM16" s="7"/>
      <c r="AN16" s="62">
        <v>750000</v>
      </c>
      <c r="AO16" s="43" t="s">
        <v>37</v>
      </c>
      <c r="AP16" s="32"/>
    </row>
    <row r="17" spans="2:42" x14ac:dyDescent="0.25">
      <c r="B17" s="15"/>
      <c r="C17" s="15"/>
      <c r="D17" s="22" t="str">
        <f>IF(OR(F17&gt;AI17,I17&gt;AI17,L17&gt;AI17,O17&gt;AI17),"Höchstversicherungssumme beachten!",AO17)</f>
        <v>Unfall-Krankenhaustagegeld</v>
      </c>
      <c r="E17" s="35">
        <f>(IF(E$5="A",((F17*$P17)/1)*$AL$12,IF(E$5="B",((F17*$V17)/1)*$AL$12,IF(E$5="K",((F17*$AB17)/1)*$AL$12,IF(F17="",0,0)))))*$F$7*((100-$AM$11)/100*E$39*$G$9)</f>
        <v>1.7410999999999999</v>
      </c>
      <c r="F17" s="36">
        <v>20</v>
      </c>
      <c r="G17" s="24"/>
      <c r="H17" s="37">
        <f>(IF(H$5="A",((I17*$P17)/1)*$AL$12,IF(H$5="B",((I17*$V17)/1)*$AL$12,IF(H$5="K",((I17*$AB17)/1)*$AL$12,IF(I17="",0,0)))))*$F$7*((100-$AM$11)/100*H$39*$G$9)</f>
        <v>0.77279999999999982</v>
      </c>
      <c r="I17" s="36">
        <v>20</v>
      </c>
      <c r="J17" s="24"/>
      <c r="K17" s="37">
        <f>(IF(K$5="A",((L17*$P17)/1)*$AL$12,IF(K$5="B",((L17*$V17)/1)*$AL$12,IF(K$5="K",((L17*$AB17)/1)*$AL$12,IF(L17="",0,0)))))*$F$7*((100-$AM$11)/100*K$39*$G$9)</f>
        <v>0.77279999999999982</v>
      </c>
      <c r="L17" s="36">
        <v>20</v>
      </c>
      <c r="M17" s="24"/>
      <c r="N17" s="37">
        <f>(IF(N$5="A",((O17*$P17)/1)*$AL$12,IF(N$5="B",((O17*$V17)/1)*$AL$12,IF(N$5="K",((O17*$AB17)/1)*$AL$12,IF(O17="",0,0)))))*$F$7*((100-$AM$11)/100*N$39*$G$9)</f>
        <v>0.77279999999999982</v>
      </c>
      <c r="O17" s="36">
        <v>20</v>
      </c>
      <c r="P17" s="63">
        <f>0.0336/1.05*12</f>
        <v>0.3839999999999999</v>
      </c>
      <c r="Q17" s="38"/>
      <c r="R17" s="38"/>
      <c r="S17" s="38"/>
      <c r="T17" s="38"/>
      <c r="U17" s="38"/>
      <c r="V17" s="39">
        <f>0.0757/1.05*12</f>
        <v>0.86514285714285721</v>
      </c>
      <c r="W17" s="39"/>
      <c r="X17" s="39"/>
      <c r="Y17" s="39"/>
      <c r="Z17" s="39"/>
      <c r="AA17" s="64"/>
      <c r="AB17" s="39">
        <v>0.38400000000000001</v>
      </c>
      <c r="AC17" s="39"/>
      <c r="AD17" s="39"/>
      <c r="AE17" s="39"/>
      <c r="AF17" s="39"/>
      <c r="AG17" s="39"/>
      <c r="AH17" s="23"/>
      <c r="AI17" s="65">
        <v>50</v>
      </c>
      <c r="AJ17" s="32"/>
      <c r="AK17" s="61"/>
      <c r="AL17" s="27"/>
      <c r="AM17" s="66"/>
      <c r="AN17" s="66"/>
      <c r="AO17" s="43" t="s">
        <v>38</v>
      </c>
      <c r="AP17" s="32"/>
    </row>
    <row r="18" spans="2:42" x14ac:dyDescent="0.25">
      <c r="B18" s="15"/>
      <c r="C18" s="15"/>
      <c r="D18" s="22" t="str">
        <f>IF(OR(F18&gt;AI18,I18&gt;AI18,L18&gt;AI18,O18&gt;AI18),"Höchstversicherungssumme beachten!",AO18)</f>
        <v>Genesungsgeld</v>
      </c>
      <c r="E18" s="35">
        <f>(IF(E$5="A",((F18*$P18)/1)*$AL$12,IF(E$5="B",((F18*$V18)/1)*$AL$12,IF(E$5="K",((F18*$AB18)/1)*$AL$12,IF(F18="",0,0)))))*$F$7*((100-$AM$11)/100*E$39*$G$9)</f>
        <v>0</v>
      </c>
      <c r="F18" s="36"/>
      <c r="G18" s="24"/>
      <c r="H18" s="37">
        <f>(IF(H$5="A",((I18*$P18)/1)*$AL$12,IF(H$5="B",((I18*$V18)/1)*$AL$12,IF(H$5="K",((I18*$AB18)/1)*$AL$12,IF(I18="",0,0)))))*$F$7*((100-$AM$11)/100*H$39*$G$9)</f>
        <v>0</v>
      </c>
      <c r="I18" s="36"/>
      <c r="J18" s="24"/>
      <c r="K18" s="37">
        <f>(IF(K$5="A",((L18*$P18)/1)*$AL$12,IF(K$5="B",((L18*$V18)/1)*$AL$12,IF(K$5="K",((L18*$AB18)/1)*$AL$12,IF(L18="",0,0)))))*$F$7*((100-$AM$11)/100*K$39*$G$9)</f>
        <v>0</v>
      </c>
      <c r="L18" s="36"/>
      <c r="M18" s="24"/>
      <c r="N18" s="37">
        <f>(IF(N$5="A",((O18*$P18)/1)*$AL$12,IF(N$5="B",((O18*$V18)/1)*$AL$12,IF(N$5="K",((O18*$AB18)/1)*$AL$12,IF(O18="",0,0)))))*$F$7*((100-$AM$11)/100*N$39*$G$9)</f>
        <v>0</v>
      </c>
      <c r="O18" s="36"/>
      <c r="P18" s="63">
        <f>0.0168/1.05*12</f>
        <v>0.19199999999999995</v>
      </c>
      <c r="Q18" s="38"/>
      <c r="R18" s="38"/>
      <c r="S18" s="38"/>
      <c r="T18" s="38"/>
      <c r="U18" s="38"/>
      <c r="V18" s="39">
        <f>0.0378/1.05*12</f>
        <v>0.43199999999999994</v>
      </c>
      <c r="W18" s="39"/>
      <c r="X18" s="39"/>
      <c r="Y18" s="39"/>
      <c r="Z18" s="39"/>
      <c r="AA18" s="64"/>
      <c r="AB18" s="39">
        <v>0.192</v>
      </c>
      <c r="AC18" s="39"/>
      <c r="AD18" s="39"/>
      <c r="AE18" s="39"/>
      <c r="AF18" s="39"/>
      <c r="AG18" s="39"/>
      <c r="AH18" s="23"/>
      <c r="AI18" s="65">
        <v>50</v>
      </c>
      <c r="AJ18" s="32"/>
      <c r="AK18" s="61"/>
      <c r="AL18" s="27"/>
      <c r="AM18" s="66"/>
      <c r="AN18" s="66"/>
      <c r="AO18" s="43" t="s">
        <v>39</v>
      </c>
      <c r="AP18" s="32"/>
    </row>
    <row r="19" spans="2:42" x14ac:dyDescent="0.25">
      <c r="B19" s="15"/>
      <c r="C19" s="15"/>
      <c r="D19" s="22" t="str">
        <f>IF(OR(F19&gt;AI19,I19&gt;AI19,L19&gt;AI19,O19&gt;AI19),"Höchstversicherungssumme beachten!",AO19)</f>
        <v>Übergangsleistung</v>
      </c>
      <c r="E19" s="35">
        <f>(IF(E$5="A",((F19*$P19)/1000)*$AL$12,IF(E$5="B",((F19*$V19)/1000)*$AL$12,IF(E$5="K",((F19*$AB19)/1000)*$AL$12,IF(F19="",0,0)))))*$F$7*((100-$AM$11)/100*E$39*$G$9)</f>
        <v>0</v>
      </c>
      <c r="F19" s="36"/>
      <c r="G19" s="24"/>
      <c r="H19" s="37">
        <f>(IF(H$5="A",((I19*$P19)/1000)*$AL$12,IF(H$5="B",((I19*$V19)/1000)*$AL$12,IF(H$5="K",((I19*$AB19)/1000)*$AL$12,IF(I19="",0,0)))))*$F$7*((100-$AM$11)/100*H$39*$G$9)</f>
        <v>0</v>
      </c>
      <c r="I19" s="36"/>
      <c r="J19" s="24"/>
      <c r="K19" s="37">
        <f>(IF(K$5="A",((L19*$P19)/1000)*$AL$12,IF(K$5="B",((L19*$V19)/1000)*$AL$12,IF(K$5="K",((L19*$AB19)/1000)*$AL$12,IF(L19="",0,0)))))*$F$7*((100-$AM$11)/100*K$39*$G$9)</f>
        <v>0</v>
      </c>
      <c r="L19" s="36"/>
      <c r="M19" s="24"/>
      <c r="N19" s="37">
        <f>(IF(N$5="A",((O19*$P19)/1000)*$AL$12,IF(N$5="B",((O19*$V19)/1000)*$AL$12,IF(N$5="K",((O19*$AB19)/1000)*$AL$12,IF(O19="",0,0)))))*$F$7*((100-$AM$11)/100*N$39*$G$9)</f>
        <v>0</v>
      </c>
      <c r="O19" s="36"/>
      <c r="P19" s="38">
        <f>0.0942/1.05*12</f>
        <v>1.0765714285714285</v>
      </c>
      <c r="Q19" s="38"/>
      <c r="R19" s="38"/>
      <c r="S19" s="38"/>
      <c r="T19" s="38"/>
      <c r="U19" s="38"/>
      <c r="V19" s="39">
        <f>0.1891/1.05*12</f>
        <v>2.161142857142857</v>
      </c>
      <c r="W19" s="39"/>
      <c r="X19" s="39"/>
      <c r="Y19" s="39"/>
      <c r="Z19" s="39"/>
      <c r="AA19" s="39"/>
      <c r="AB19" s="39">
        <v>1.0766</v>
      </c>
      <c r="AC19" s="39"/>
      <c r="AD19" s="39"/>
      <c r="AE19" s="39"/>
      <c r="AF19" s="39"/>
      <c r="AG19" s="39"/>
      <c r="AH19" s="23"/>
      <c r="AI19" s="65">
        <v>20000</v>
      </c>
      <c r="AJ19" s="32"/>
      <c r="AK19" s="61"/>
      <c r="AL19" s="27"/>
      <c r="AM19" s="66"/>
      <c r="AN19" s="66"/>
      <c r="AO19" s="43" t="s">
        <v>40</v>
      </c>
      <c r="AP19" s="32"/>
    </row>
    <row r="20" spans="2:42" x14ac:dyDescent="0.25">
      <c r="B20" s="15"/>
      <c r="C20" s="15"/>
      <c r="D20" s="22" t="str">
        <f>IF(OR(F20&gt;AI20,I20&gt;AI20,L20&gt;AI20,O20&gt;AI20),"Höchstversicherungssumme beachten!",IF(OR(AND($E$5="K",F20&gt;0),AND($H$5="K",I20&gt;0),AND($K$5="K",L20&gt;0),AND($N$5="K",O20&gt;0)),"Nur für Erwachsene!",AO20))</f>
        <v>Unfalltagegeld ab dem 8. Tag</v>
      </c>
      <c r="E20" s="35">
        <f>(IF(E$5="A",(F20*$P20)*$AL$12,IF(E$5="B",(F20*$V20)*$AL$12,IF(E$5="K",0,IF(F20="",0,0)))))*$F$7*((100-$AM$11)/100*E$39*$G$9)</f>
        <v>0</v>
      </c>
      <c r="F20" s="36"/>
      <c r="G20" s="24"/>
      <c r="H20" s="37">
        <f>(IF(H$5="A",(I20*$P20)*$AL$12,IF(H$5="B",(I20*$V20)*$AL$12,IF(H$5="K",0,IF(I20="",0,0)))))*$F$7*((100-$AM$11)/100*H$39*$G$9)</f>
        <v>0</v>
      </c>
      <c r="I20" s="36"/>
      <c r="J20" s="24"/>
      <c r="K20" s="37">
        <f>(IF(K$5="A",(L20*$P20)*$AL$12,IF(K$5="B",(L20*$V20)*$AL$12,IF(K$5="K",0,IF(L20="",0,0)))))*$F$7*((100-$AM$11)/100*K$39*$G$9)</f>
        <v>0</v>
      </c>
      <c r="L20" s="36"/>
      <c r="M20" s="24"/>
      <c r="N20" s="37">
        <f>(IF(N$5="A",(O20*$P20)*$AL$12,IF(N$5="B",(O20*$V20)*$AL$12,IF(N$5="K",0,IF(O20="",0,0)))))*$F$7*((100-$AM$11)/100*N$39*$G$9)</f>
        <v>0</v>
      </c>
      <c r="O20" s="36"/>
      <c r="P20" s="38">
        <f>0.2119/1.05*12</f>
        <v>2.4217142857142857</v>
      </c>
      <c r="Q20" s="38"/>
      <c r="R20" s="38"/>
      <c r="S20" s="38"/>
      <c r="T20" s="38"/>
      <c r="U20" s="38"/>
      <c r="V20" s="39">
        <f>0.3881/1.05*12</f>
        <v>4.4354285714285719</v>
      </c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23"/>
      <c r="AI20" s="65">
        <v>30</v>
      </c>
      <c r="AJ20" s="32"/>
      <c r="AK20" s="19" t="b">
        <f>OR(AND($E$5="K",F20&gt;0),AND($H$5="K",I20&gt;0),AND($K$5="K",L20&gt;0),AND($N$5="K",O20&gt;0))</f>
        <v>0</v>
      </c>
      <c r="AL20" s="26"/>
      <c r="AM20" s="15"/>
      <c r="AN20" s="32"/>
      <c r="AO20" s="43" t="s">
        <v>41</v>
      </c>
      <c r="AP20" s="32"/>
    </row>
    <row r="21" spans="2:42" x14ac:dyDescent="0.25">
      <c r="B21" s="15"/>
      <c r="C21" s="15"/>
      <c r="D21" s="22" t="str">
        <f>IF(OR(F21&gt;AI21,I21&gt;AI21,L21&gt;AI21,O21&gt;AI21),"Höchstversicherungssumme beachten!",IF(OR(AND($E$5="K",F21&gt;0),AND($H$5="K",I21&gt;0),AND($K$5="K",L21&gt;0),AND($N$5="K",O21&gt;0)),"Nur für Erwachsene!",AO21))</f>
        <v>Unfalltagegeld ab dem 15. Tag</v>
      </c>
      <c r="E21" s="35">
        <f>(IF(E$5="A",(F21*$P21)*$AL$12,IF(E$5="B",(F21*$V21)*$AL$12,IF(E$5="K",0,IF(F21="",0,0)))))*$F$7*((100-$AM$11)/100*E$39*$G$9)</f>
        <v>0</v>
      </c>
      <c r="F21" s="36"/>
      <c r="G21" s="24"/>
      <c r="H21" s="37">
        <f>(IF(H$5="A",(I21*$P21)*$AL$12,IF(H$5="B",(I21*$V21)*$AL$12,IF(H$5="K",0,IF(I21="",0,0)))))*$F$7*((100-$AM$11)/100*H$39*$G$9)</f>
        <v>0</v>
      </c>
      <c r="I21" s="36"/>
      <c r="J21" s="24"/>
      <c r="K21" s="37">
        <f>(IF(K$5="A",(L21*$P21)*$AL$12,IF(K$5="B",(L21*$V21)*$AL$12,IF(K$5="K",0,IF(L21="",0,0)))))*$F$7*((100-$AM$11)/100*K$39*$G$9)</f>
        <v>0</v>
      </c>
      <c r="L21" s="36"/>
      <c r="M21" s="24"/>
      <c r="N21" s="37">
        <f>(IF(N$5="A",(O21*$P21)*$AL$12,IF(N$5="B",(O21*$V21)*$AL$12,IF(N$5="K",0,IF(O21="",0,0)))))*$F$7*((100-$AM$11)/100*N$39*$G$9)</f>
        <v>0</v>
      </c>
      <c r="O21" s="36"/>
      <c r="P21" s="38">
        <f>0.1885/1.05*12</f>
        <v>2.1542857142857144</v>
      </c>
      <c r="Q21" s="38"/>
      <c r="R21" s="38"/>
      <c r="S21" s="38"/>
      <c r="T21" s="38"/>
      <c r="U21" s="38"/>
      <c r="V21" s="39">
        <v>0.437</v>
      </c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23"/>
      <c r="AI21" s="65">
        <v>30</v>
      </c>
      <c r="AJ21" s="32"/>
      <c r="AK21" s="19" t="b">
        <f>OR(AND($E$5="K",F21&gt;0),AND($H$5="K",I21&gt;0),AND($K$5="K",L21&gt;0),AND($N$5="K",O21&gt;0))</f>
        <v>0</v>
      </c>
      <c r="AL21" s="26"/>
      <c r="AM21" s="15"/>
      <c r="AN21" s="32"/>
      <c r="AO21" s="43" t="s">
        <v>42</v>
      </c>
      <c r="AP21" s="32"/>
    </row>
    <row r="22" spans="2:42" x14ac:dyDescent="0.25">
      <c r="B22" s="15"/>
      <c r="C22" s="15"/>
      <c r="D22" s="22" t="str">
        <f>IF(OR(F22&gt;AI22,I22&gt;AI22,L22&gt;AI22,O22&gt;AI22),"Höchstversicherungssumme beachten!",IF(OR(AND($E$5="K",F22&gt;0),AND($H$5="K",I22&gt;0),AND($K$5="K",L22&gt;0),AND($N$5="K",O22&gt;0)),"Nur für Erwachsene!",AO22))</f>
        <v>Unfalltagegeld ab dem 43. Tag</v>
      </c>
      <c r="E22" s="35">
        <f>(IF(E$5="A",(F22*$P22)*$AL$12,IF(E$5="B",(F22*$V22)*$AL$12,IF(E$5="K",0,IF(F22="",0,0)))))*$F$7*((100-$AM$11)/100*E$39*$G$9)</f>
        <v>0</v>
      </c>
      <c r="F22" s="36"/>
      <c r="G22" s="24"/>
      <c r="H22" s="37">
        <f>(IF(H$5="A",(I22*$P22)*$AL$12,IF(H$5="B",(I22*$V22)*$AL$12,IF(H$5="K",0,IF(I22="",0,0)))))*$F$7*((100-$AM$11)/100*H$39*$G$9)</f>
        <v>0</v>
      </c>
      <c r="I22" s="36"/>
      <c r="J22" s="24"/>
      <c r="K22" s="37">
        <f>(IF(K$5="A",(L22*$P22)*$AL$12,IF(K$5="B",(L22*$V22)*$AL$12,IF(K$5="K",0,IF(L22="",0,0)))))*$F$7*((100-$AM$11)/100*K$39*$G$9)</f>
        <v>0</v>
      </c>
      <c r="L22" s="36"/>
      <c r="M22" s="24"/>
      <c r="N22" s="37">
        <f>(IF(N$5="A",(O22*$P22)*$AL$12,IF(N$5="B",(O22*$V22)*$AL$12,IF(N$5="K",0,IF(O22="",0,0)))))*$F$7*((100-$AM$11)/100*N$39*$G$9)</f>
        <v>0</v>
      </c>
      <c r="O22" s="36"/>
      <c r="P22" s="38">
        <f>0.1411/1.05*12</f>
        <v>1.6125714285714285</v>
      </c>
      <c r="Q22" s="38"/>
      <c r="R22" s="38"/>
      <c r="S22" s="38"/>
      <c r="T22" s="38"/>
      <c r="U22" s="38"/>
      <c r="V22" s="39">
        <f>0.259/1.05*12</f>
        <v>2.96</v>
      </c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23"/>
      <c r="AI22" s="65">
        <v>30</v>
      </c>
      <c r="AJ22" s="32"/>
      <c r="AK22" s="19"/>
      <c r="AL22" s="26"/>
      <c r="AM22" s="15"/>
      <c r="AN22" s="32"/>
      <c r="AO22" s="43" t="s">
        <v>43</v>
      </c>
      <c r="AP22" s="32"/>
    </row>
    <row r="23" spans="2:42" hidden="1" x14ac:dyDescent="0.25">
      <c r="B23" s="15"/>
      <c r="C23" s="15"/>
      <c r="D23" s="22" t="str">
        <f>IF(OR(F23&gt;AI23,I23&gt;AI23,L23&gt;AI23,O23&gt;AI23),"Höchstversicherungssumme beachten!",IF(OR(AND($E$5&lt;&gt;"K",F23&gt;0),AND($H$5&lt;&gt;"K",I23&gt;0),AND($K$5&lt;&gt;"K",L23&gt;0),AND($N$5&lt;&gt;"K",O23&gt;0)),"Nur für Kinder!",AO23))</f>
        <v>Krankenhaustagegeld (nur Kinder)</v>
      </c>
      <c r="E23" s="35">
        <f>(IF(E$5="A",0,IF(E$5="B",0,IF(E$5="K",((F23*$AB23)/1)*$AL$12,IF(F23="",0,0)))))*$F$7*((100-$AM$11)/100*E$39)</f>
        <v>0</v>
      </c>
      <c r="F23" s="67"/>
      <c r="G23" s="24"/>
      <c r="H23" s="37">
        <f>(IF(H$5="A",0,IF(H$5="B",0,IF(H$5="K",((I23*$AB23)/1)*$AL$12,IF(I23="",0,0)))))*$F$7*((100-$AM$11)/100*H$39)</f>
        <v>0</v>
      </c>
      <c r="I23" s="67"/>
      <c r="J23" s="24"/>
      <c r="K23" s="37">
        <f>(IF(K$5="A",0,IF(K$5="B",0,IF(K$5="K",((L23*$AB23)/1)*$AL$12,IF(L23="",0,0)))))*$F$7*((100-$AM$11)/100*K$39)</f>
        <v>0</v>
      </c>
      <c r="L23" s="36"/>
      <c r="M23" s="24"/>
      <c r="N23" s="37">
        <f>(IF(N$5="A",0,IF(N$5="B",0,IF(N$5="K",((O23*$AB23)/1)*$AL$12,IF(O23="",0,0)))))*$F$7*((100-$AM$11)/100*N$39)</f>
        <v>0</v>
      </c>
      <c r="O23" s="36"/>
      <c r="P23" s="38">
        <v>52</v>
      </c>
      <c r="Q23" s="38"/>
      <c r="R23" s="38"/>
      <c r="S23" s="38"/>
      <c r="T23" s="38"/>
      <c r="U23" s="38"/>
      <c r="V23" s="39">
        <v>57.77</v>
      </c>
      <c r="W23" s="39"/>
      <c r="X23" s="39"/>
      <c r="Y23" s="39"/>
      <c r="Z23" s="39"/>
      <c r="AA23" s="39"/>
      <c r="AB23" s="39">
        <v>44.2</v>
      </c>
      <c r="AC23" s="39"/>
      <c r="AD23" s="39"/>
      <c r="AE23" s="39"/>
      <c r="AF23" s="39"/>
      <c r="AG23" s="39"/>
      <c r="AH23" s="23"/>
      <c r="AI23" s="65">
        <v>25</v>
      </c>
      <c r="AJ23" s="32"/>
      <c r="AK23" s="19" t="b">
        <f>OR(AND($E$5&lt;&gt;"K",F23&gt;0),AND($H$5&lt;&gt;"K",I23&gt;0),AND($K$5&lt;&gt;"K",L23&gt;0),AND($N$5&lt;&gt;"K",O23&gt;0))</f>
        <v>0</v>
      </c>
      <c r="AL23" s="26"/>
      <c r="AM23" s="15"/>
      <c r="AN23" s="32"/>
      <c r="AO23" s="43" t="s">
        <v>44</v>
      </c>
      <c r="AP23" s="32"/>
    </row>
    <row r="24" spans="2:42" hidden="1" x14ac:dyDescent="0.25">
      <c r="B24" s="15"/>
      <c r="C24"/>
      <c r="D24" s="48" t="str">
        <f>IF(OR(OR(AND(F15&gt;0,F24&gt;AM24),AND(F15=0,F24&gt;AI24)),OR(AND(I15&gt;0,I24&gt;AM24),AND(I15=0,I24&gt;AI24)),OR(AND(L15&gt;0,L24&gt;AM24),AND(L15=0,L24&gt;AI24)),OR(AND(O15&gt;0,O24&gt;AM24),AND(O15=0,O24&gt;AI24))),"Höchstversicherungssumme beachten!",AO24)</f>
        <v>Unfallrente ab 50 % Invalidität mit</v>
      </c>
      <c r="E24" s="6">
        <f>(IF(E$5="A",((F24*$P24)/100)*$AL$12,IF(E$5="B",((F24*$V24)/100)*$AL$12,IF(E$5="K",((F24*$AB24)/100)*$AL$12,IF(F24="",0,0)))))*$F$7*((100-$AM$11)/100*E$39*$G$9)</f>
        <v>0</v>
      </c>
      <c r="F24" s="68"/>
      <c r="G24" s="24"/>
      <c r="H24" s="5">
        <f>(IF(H$5="A",((I24*$P24)/100)*$AL$12,IF(H$5="B",((I24*$V24)/100)*$AL$12,IF(H$5="K",((I24*$AB24)/100)*$AL$12,IF(I24="",0,0)))))*$F$7*((100-$AM$11)/100*H$39*$G$9)</f>
        <v>0</v>
      </c>
      <c r="I24" s="68"/>
      <c r="J24" s="24"/>
      <c r="K24" s="5">
        <f>(IF(K$5="A",((L24*$P24)/100)*$AL$12,IF(K$5="B",((L24*$V24)/100)*$AL$12,IF(K$5="K",((L24*$AB24)/100)*$AL$12,IF(L24="",0,0)))))*$F$7*((100-$AM$11)/100*K$39*$G$9)</f>
        <v>0</v>
      </c>
      <c r="L24" s="68"/>
      <c r="M24" s="24"/>
      <c r="N24" s="5">
        <f>(IF(N$5="A",((O24*$P24)/100)*$AL$12,IF(N$5="B",((O24*$V24)/100)*$AL$12,IF(N$5="K",((O24*$AB24)/100)*$AL$12,IF(O24="",0,0)))))*$F$7*((100-$AM$11)/100*N$39*$G$9)</f>
        <v>0</v>
      </c>
      <c r="O24" s="68"/>
      <c r="P24" s="58">
        <v>4.9314</v>
      </c>
      <c r="Q24" s="58"/>
      <c r="R24" s="58"/>
      <c r="S24" s="58"/>
      <c r="T24" s="58"/>
      <c r="U24" s="58"/>
      <c r="V24" s="59"/>
      <c r="W24" s="59"/>
      <c r="X24" s="59"/>
      <c r="Y24" s="59"/>
      <c r="Z24" s="59"/>
      <c r="AA24" s="59">
        <v>4.22</v>
      </c>
      <c r="AB24" s="59"/>
      <c r="AC24" s="59"/>
      <c r="AD24" s="59"/>
      <c r="AE24" s="59"/>
      <c r="AF24" s="59"/>
      <c r="AG24" s="59"/>
      <c r="AH24" s="23"/>
      <c r="AI24" s="69">
        <v>1000</v>
      </c>
      <c r="AJ24" s="32"/>
      <c r="AK24" s="19"/>
      <c r="AL24" s="70" t="s">
        <v>45</v>
      </c>
      <c r="AM24" s="4">
        <v>750</v>
      </c>
      <c r="AN24" s="4"/>
      <c r="AO24" s="43" t="s">
        <v>46</v>
      </c>
      <c r="AP24" s="32"/>
    </row>
    <row r="25" spans="2:42" hidden="1" x14ac:dyDescent="0.25">
      <c r="B25" s="15"/>
      <c r="C25" s="15"/>
      <c r="D25" s="71" t="str">
        <f>IF(OR(F25&gt;AI25,I25&gt;AI25,L25&gt;AI25,O25&gt;AI25),"Höchstversicherungssumme beachten!",AO25)</f>
        <v>Doppelauszahlung ab 90 % Invalidität</v>
      </c>
      <c r="E25" s="6"/>
      <c r="F25" s="60">
        <f>IF(F24=0,0,F24*2)</f>
        <v>0</v>
      </c>
      <c r="G25" s="24"/>
      <c r="H25" s="5"/>
      <c r="I25" s="60">
        <f>IF(I24=0,0,I24*2)</f>
        <v>0</v>
      </c>
      <c r="J25" s="24"/>
      <c r="K25" s="5"/>
      <c r="L25" s="60">
        <f>IF(L24=0,0,L24*2)</f>
        <v>0</v>
      </c>
      <c r="M25" s="24"/>
      <c r="N25" s="5"/>
      <c r="O25" s="60">
        <f>IF(O24=0,0,O24*2)</f>
        <v>0</v>
      </c>
      <c r="P25" s="52"/>
      <c r="Q25" s="52"/>
      <c r="R25" s="52"/>
      <c r="S25" s="52"/>
      <c r="T25" s="52"/>
      <c r="U25" s="5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23"/>
      <c r="AI25" s="73">
        <f>AI24*2</f>
        <v>2000</v>
      </c>
      <c r="AJ25" s="32"/>
      <c r="AK25" s="19"/>
      <c r="AL25" s="74" t="s">
        <v>45</v>
      </c>
      <c r="AM25" s="3">
        <v>1500</v>
      </c>
      <c r="AN25" s="3"/>
      <c r="AO25" s="43" t="s">
        <v>47</v>
      </c>
      <c r="AP25" s="32"/>
    </row>
    <row r="26" spans="2:42" x14ac:dyDescent="0.25">
      <c r="B26" s="15"/>
      <c r="C26" s="15"/>
      <c r="D26" s="22" t="str">
        <f>IF(OR(F26&gt;AI26,I26&gt;AI26,L26&gt;AI26,O26&gt;AI26),"Höchstversicherungssumme beachten!",IF(OR(AND($E$5="K",F26&gt;0),AND($H$5="K",I26&gt;0),AND($K$5="K",L26&gt;0),AND($N$5="K",O26&gt;0)),"Nur für Erwachsene!",AO26))</f>
        <v>Einmalzahlung bei schwerer Erkrankung *</v>
      </c>
      <c r="E26" s="35">
        <f>(IF(E$5="A",((F26*$P26)/10000)*$AL$12,IF(E$5="B",((F26*$V26)/10000)*$AL$12,IF(E$5="K",0*$AL$12,IF(F26="",0,0)))))*$F$7*((100-$AM$11)/100*E$39*$G$9)</f>
        <v>0</v>
      </c>
      <c r="F26" s="36"/>
      <c r="G26" s="24"/>
      <c r="H26" s="37">
        <f>(IF(H$5="A",((I26*$P26)/10000)*$AL$12,IF(H$5="B",((I26*$V26)/10000)*$AL$12,IF(H$5="K",0*$AL$12,IF(I26="",0,0)))))*$F$7*((100-$AM$11)/100*H$39*$G$9)</f>
        <v>0</v>
      </c>
      <c r="I26" s="36"/>
      <c r="J26" s="24"/>
      <c r="K26" s="37">
        <f>(IF(K$5="A",((L26*$P26)/10000)*$AL$12,IF(K$5="B",((L26*$V26)/10000)*$AL$12,IF(K$5="K",0*$AL$12,IF(L26="",0,0)))))*$F$7*((100-$AM$11)/100*K$39*$G$9)</f>
        <v>0</v>
      </c>
      <c r="L26" s="36"/>
      <c r="M26" s="24"/>
      <c r="N26" s="37">
        <f>(IF(N$5="A",((O26*$P26)/10000)*$AL$12,IF(N$5="B",((O26*$V26)/10000)*$AL$12,IF(N$5="K",0*$AL$12,IF(O26="",0,0)))))*$F$7*((100-$AM$11)/100*N$39*$G$9)</f>
        <v>0</v>
      </c>
      <c r="O26" s="36"/>
      <c r="P26" s="38">
        <f>4.2013/1.05*12</f>
        <v>48.014857142857139</v>
      </c>
      <c r="Q26" s="38"/>
      <c r="R26" s="38"/>
      <c r="S26" s="38"/>
      <c r="T26" s="38"/>
      <c r="U26" s="38"/>
      <c r="V26" s="39">
        <f>4.2013/1.05*12</f>
        <v>48.014857142857139</v>
      </c>
      <c r="W26" s="39"/>
      <c r="X26" s="39"/>
      <c r="Y26" s="39"/>
      <c r="Z26" s="39"/>
      <c r="AA26" s="39" t="s">
        <v>48</v>
      </c>
      <c r="AB26" s="39"/>
      <c r="AC26" s="39"/>
      <c r="AD26" s="39"/>
      <c r="AE26" s="39"/>
      <c r="AF26" s="39"/>
      <c r="AG26" s="39"/>
      <c r="AH26" s="23"/>
      <c r="AI26" s="65">
        <v>30000</v>
      </c>
      <c r="AJ26" s="32"/>
      <c r="AK26" s="19"/>
      <c r="AL26" s="75"/>
      <c r="AM26" s="15"/>
      <c r="AN26" s="32"/>
      <c r="AO26" s="43" t="s">
        <v>49</v>
      </c>
      <c r="AP26" s="32"/>
    </row>
    <row r="27" spans="2:42" hidden="1" x14ac:dyDescent="0.25">
      <c r="B27" s="15"/>
      <c r="C27" s="15"/>
      <c r="D27" s="22" t="str">
        <f>IF(OR(F27&gt;AI27,I27&gt;AI27,L27&gt;AI27,O27&gt;AI27),"Höchstversicherungssumme beachten!",IF(OR(AND($E$5&lt;&gt;"K",F27&gt;0),AND($H$5&lt;&gt;"K",I27&gt;0),AND($K$5&lt;&gt;"K",L27&gt;0),AND($N$5&lt;&gt;"K",O27&gt;0)),"Nur für Kinder!",AO27))</f>
        <v>Soforthilfe bei Krebs (nur Kinder)</v>
      </c>
      <c r="E27" s="35">
        <f>(IF(E$5="A",0,IF(E$5="B",0,IF(E$5="K",((F27*$AB27)/1000)*$AL$12,IF(F27="",0,0)))))*$F$7*((100-$AM$11)/100*E$39*$G$9)</f>
        <v>0</v>
      </c>
      <c r="F27" s="36"/>
      <c r="G27" s="24"/>
      <c r="H27" s="37">
        <f>(IF(H$5="A",0,IF(H$5="B",0,IF(H$5="K",((I27*$AB27)/1000)*$AL$12,IF(I27="",0,0)))))*$F$7*((100-$AM$11)/100*H$39*$G$9)</f>
        <v>0</v>
      </c>
      <c r="I27" s="36"/>
      <c r="J27" s="24"/>
      <c r="K27" s="37">
        <f>(IF(K$5="A",0,IF(K$5="B",0,IF(K$5="K",((L27*$AB27)/1000)*$AL$12,IF(L27="",0,0)))))*$F$7*((100-$AM$11)/100*K$39*$G$9)</f>
        <v>0</v>
      </c>
      <c r="L27" s="36"/>
      <c r="M27" s="24"/>
      <c r="N27" s="37">
        <f>(IF(N$5="A",0,IF(N$5="B",0,IF(N$5="K",((O27*$AB27)/1000)*$AL$12,IF(O27="",0,0)))))*$F$7*((100-$AM$11)/100*N$39*$G$9)</f>
        <v>0</v>
      </c>
      <c r="O27" s="36"/>
      <c r="P27" s="38" t="s">
        <v>48</v>
      </c>
      <c r="Q27" s="38"/>
      <c r="R27" s="38"/>
      <c r="S27" s="38"/>
      <c r="T27" s="38"/>
      <c r="U27" s="38"/>
      <c r="V27" s="39"/>
      <c r="W27" s="39"/>
      <c r="X27" s="39"/>
      <c r="Y27" s="39"/>
      <c r="Z27" s="39"/>
      <c r="AA27" s="39">
        <v>0.45</v>
      </c>
      <c r="AB27" s="39"/>
      <c r="AC27" s="39"/>
      <c r="AD27" s="39"/>
      <c r="AE27" s="39"/>
      <c r="AF27" s="39"/>
      <c r="AG27" s="39"/>
      <c r="AH27" s="23"/>
      <c r="AI27" s="65">
        <v>10000</v>
      </c>
      <c r="AJ27" s="32"/>
      <c r="AK27" s="19" t="b">
        <f>OR(AND($E$5&lt;&gt;"K",F27&gt;0),AND($H$5&lt;&gt;"K",I27&gt;0),AND($K$5&lt;&gt;"K",L27&gt;0),AND($N$5&lt;&gt;"K",O27&gt;0))</f>
        <v>0</v>
      </c>
      <c r="AL27" s="26"/>
      <c r="AM27" s="15"/>
      <c r="AN27" s="32"/>
      <c r="AO27" s="43" t="s">
        <v>50</v>
      </c>
      <c r="AP27" s="32"/>
    </row>
    <row r="28" spans="2:42" x14ac:dyDescent="0.25">
      <c r="B28" s="15"/>
      <c r="C28" s="15"/>
      <c r="D28" s="22" t="str">
        <f>IF(OR(F28&gt;AI28,I28&gt;AI28,L28&gt;AI28,O28&gt;AI28),"Höchstversicherungssumme beachten!",AO28)</f>
        <v>Kosmetische OP</v>
      </c>
      <c r="E28" s="35">
        <f>(IF(E$5="A",((F28*$P28)/1000)*$AL$12,IF(E$5="B",((F28*$V28)/1000)*$AL$12,IF(E$5="K",((F28*$AB28)/1000)*$AL$12,IF(F28="",0,0)))))*$F$7*((100-$AM$11)/100*E$39*$G$9)</f>
        <v>0.43354999999999988</v>
      </c>
      <c r="F28" s="36">
        <v>10000</v>
      </c>
      <c r="G28" s="24"/>
      <c r="H28" s="37">
        <f>(IF(H$5="A",((I28*$P28)/1000)*$AL$12,IF(H$5="B",((I28*$V28)/1000)*$AL$12,IF(H$5="K",((I28*$AB28)/1000)*$AL$12,IF(I28="",0,0)))))*$F$7*((100-$AM$11)/100*H$39*$G$9)</f>
        <v>0.2932499999999999</v>
      </c>
      <c r="I28" s="36">
        <v>10000</v>
      </c>
      <c r="J28" s="24"/>
      <c r="K28" s="37">
        <f>(IF(K$5="A",((L28*$P28)/1000)*$AL$12,IF(K$5="B",((L28*$V28)/1000)*$AL$12,IF(K$5="K",((L28*$AB28)/1000)*$AL$12,IF(L28="",0,0)))))*$F$7*((100-$AM$11)/100*K$39*$G$9)</f>
        <v>0.2932499999999999</v>
      </c>
      <c r="L28" s="36">
        <v>10000</v>
      </c>
      <c r="M28" s="24"/>
      <c r="N28" s="37">
        <f>(IF(N$5="A",((O28*$P28)/1000)*$AL$12,IF(N$5="B",((O28*$V28)/1000)*$AL$12,IF(N$5="K",((O28*$AB28)/1000)*$AL$12,IF(O28="",0,0)))))*$F$7*((100-$AM$11)/100*N$39*$G$9)</f>
        <v>0.2932499999999999</v>
      </c>
      <c r="O28" s="36">
        <v>10000</v>
      </c>
      <c r="P28" s="38">
        <f>0.0255/1.05*12</f>
        <v>0.29142857142857137</v>
      </c>
      <c r="Q28" s="38"/>
      <c r="R28" s="38"/>
      <c r="S28" s="38"/>
      <c r="T28" s="38"/>
      <c r="U28" s="38"/>
      <c r="V28" s="39">
        <f>0.0377/1.05*12</f>
        <v>0.43085714285714277</v>
      </c>
      <c r="W28" s="39"/>
      <c r="X28" s="39"/>
      <c r="Y28" s="39"/>
      <c r="Z28" s="39"/>
      <c r="AA28" s="39"/>
      <c r="AB28" s="39">
        <v>0.29139999999999999</v>
      </c>
      <c r="AC28" s="39"/>
      <c r="AD28" s="39"/>
      <c r="AE28" s="39"/>
      <c r="AF28" s="39"/>
      <c r="AG28" s="39"/>
      <c r="AH28" s="23"/>
      <c r="AI28" s="65">
        <v>50000</v>
      </c>
      <c r="AJ28" s="32"/>
      <c r="AK28" s="19"/>
      <c r="AL28" s="75"/>
      <c r="AM28" s="15"/>
      <c r="AN28" s="32"/>
      <c r="AO28" s="43" t="s">
        <v>51</v>
      </c>
      <c r="AP28" s="32"/>
    </row>
    <row r="29" spans="2:42" x14ac:dyDescent="0.25">
      <c r="B29" s="15"/>
      <c r="C29" s="15"/>
      <c r="D29" s="22" t="str">
        <f>IF(OR(F29&gt;AI29,I29&gt;AI29,L29&gt;AI29,O29&gt;AI29),"Höchstversicherungssumme beachten!",AO29)</f>
        <v>Gipsgeld</v>
      </c>
      <c r="E29" s="35">
        <f>(IF(E$5="A",((F29*$P29)/100)*$AL$12,IF(E$5="B",((F29*$V29)/100)*$AL$12,IF(E$5="K",((F29*$AB29)/100)*$AL$12,IF(F29="",0,0)))))*$F$7*((100-$AM$11)/100*E$39*$G$9)</f>
        <v>0</v>
      </c>
      <c r="F29" s="36"/>
      <c r="G29" s="24"/>
      <c r="H29" s="37">
        <f>(IF(H$5="A",((I29*$P29)/100)*$AL$12,IF(H$5="B",((I29*$V29)/100)*$AL$12,IF(H$5="K",((I29*$AB29)/100)*$AL$12,IF(I29="",0,0)))))*$F$7*((100-$AM$11)/100*H$39*$G$9)</f>
        <v>0</v>
      </c>
      <c r="I29" s="36"/>
      <c r="J29" s="24"/>
      <c r="K29" s="37">
        <f>(IF(K$5="A",((L29*$P29)/100)*$AL$12,IF(K$5="B",((L29*$V29)/100)*$AL$12,IF(K$5="K",((L29*$AB29)/100)*$AL$12,IF(L29="",0,0)))))*$F$7*((100-$AM$11)/100*K$39*$G$9)</f>
        <v>0</v>
      </c>
      <c r="L29" s="36"/>
      <c r="M29" s="24"/>
      <c r="N29" s="37">
        <f>(IF(N$5="A",((O29*$P29)/100)*$AL$12,IF(N$5="B",((O29*$V29)/100)*$AL$12,IF(N$5="K",((O29*$AB29)/100)*$AL$12,IF(O29="",0,0)))))*$F$7*((100-$AM$11)/100*N$39*$G$9)</f>
        <v>0</v>
      </c>
      <c r="O29" s="36"/>
      <c r="P29" s="38">
        <f>0.5865/1.05*12</f>
        <v>6.7028571428571428</v>
      </c>
      <c r="Q29" s="38"/>
      <c r="R29" s="38"/>
      <c r="S29" s="38"/>
      <c r="T29" s="38"/>
      <c r="U29" s="38"/>
      <c r="V29" s="39">
        <f>0.8165/1.05*12</f>
        <v>9.331428571428571</v>
      </c>
      <c r="W29" s="39"/>
      <c r="X29" s="39"/>
      <c r="Y29" s="39"/>
      <c r="Z29" s="39"/>
      <c r="AA29" s="39"/>
      <c r="AB29" s="39">
        <f>0.736/1.05*12</f>
        <v>8.411428571428571</v>
      </c>
      <c r="AC29" s="39"/>
      <c r="AD29" s="39"/>
      <c r="AE29" s="39"/>
      <c r="AF29" s="39"/>
      <c r="AG29" s="39"/>
      <c r="AH29" s="23"/>
      <c r="AI29" s="65">
        <v>500</v>
      </c>
      <c r="AJ29" s="76" t="s">
        <v>52</v>
      </c>
      <c r="AK29" s="61"/>
      <c r="AL29" s="77"/>
      <c r="AM29" s="66"/>
      <c r="AN29" s="66"/>
      <c r="AO29" s="43" t="s">
        <v>53</v>
      </c>
      <c r="AP29" s="32"/>
    </row>
    <row r="30" spans="2:42" x14ac:dyDescent="0.25">
      <c r="B30" s="15"/>
      <c r="C30" s="15"/>
      <c r="D30" s="22" t="str">
        <f>IF(AJ30=1,"Höchstversicherungssumme beachten!",AO30)</f>
        <v>Reha-Management</v>
      </c>
      <c r="E30" s="35">
        <f>IF(F30="nein",0,IF(E5="A",$P30,IF(E5="B",$V30,IF(E5="K",$AB30))))*$F$7*E$39*$G$9</f>
        <v>0.59052500000000008</v>
      </c>
      <c r="F30" s="78" t="s">
        <v>69</v>
      </c>
      <c r="G30" s="24"/>
      <c r="H30" s="37">
        <f>IF(I30="nein",0,IF(H5="A",$P30,IF(H5="B",$V30,IF(H5="K",$AB30))))*$F$7*H$39*$G$9</f>
        <v>0.45942499999999997</v>
      </c>
      <c r="I30" s="78" t="s">
        <v>69</v>
      </c>
      <c r="J30" s="24"/>
      <c r="K30" s="37">
        <f>IF(L30="nein",0,IF(K5="A",$P30,IF(K5="B",$V30,IF(K5="K",$AB30))))*$F$7*K$39*$G$9</f>
        <v>0.45942499999999997</v>
      </c>
      <c r="L30" s="78" t="s">
        <v>69</v>
      </c>
      <c r="M30" s="24"/>
      <c r="N30" s="37">
        <f>IF(O30="nein",0,IF(N5="A",$P30,IF(N5="B",$V30,IF(N5="K",$AB30))))*$F$7*N$39*$G$9</f>
        <v>0.45942499999999997</v>
      </c>
      <c r="O30" s="78" t="s">
        <v>69</v>
      </c>
      <c r="P30" s="38">
        <f>0.3995/1.05*12</f>
        <v>4.5657142857142858</v>
      </c>
      <c r="Q30" s="38"/>
      <c r="R30" s="38"/>
      <c r="S30" s="38"/>
      <c r="T30" s="38"/>
      <c r="U30" s="38"/>
      <c r="V30" s="39">
        <f>0.5135/1.05*12</f>
        <v>5.8685714285714283</v>
      </c>
      <c r="W30" s="39"/>
      <c r="X30" s="39"/>
      <c r="Y30" s="39"/>
      <c r="Z30" s="39"/>
      <c r="AA30" s="39"/>
      <c r="AB30" s="39">
        <f>0.3396/1.05*12</f>
        <v>3.8811428571428577</v>
      </c>
      <c r="AC30" s="39"/>
      <c r="AD30" s="39"/>
      <c r="AE30" s="39"/>
      <c r="AF30" s="39"/>
      <c r="AG30" s="39"/>
      <c r="AH30" s="23"/>
      <c r="AI30" s="65">
        <v>100000</v>
      </c>
      <c r="AJ30" s="15"/>
      <c r="AK30" s="42"/>
      <c r="AL30" s="27"/>
      <c r="AM30" s="66"/>
      <c r="AN30" s="66"/>
      <c r="AO30" s="43" t="s">
        <v>54</v>
      </c>
      <c r="AP30" s="15"/>
    </row>
    <row r="31" spans="2:42" x14ac:dyDescent="0.25">
      <c r="B31" s="15"/>
      <c r="C31" s="15"/>
      <c r="D31" s="22" t="str">
        <f>IF(OR(F31&gt;AI31,I31&gt;AI31,L31&gt;AI31,O31&gt;AI31),"Höchstversicherungssumme beachten!",AO31)</f>
        <v>Sport Aktiv</v>
      </c>
      <c r="E31" s="35">
        <f>(IF(E$5="A",((F31*$P31)/500)*$AL$12,IF(E$5="B",((F31*$V31)/500)*$AL$12,IF(E$5="K",((F31*$AB31)/500)*$AL$12,IF(F31="",0,0)))))*$F$7*((100-$AM$11)/100*E$39*$G$9)</f>
        <v>0</v>
      </c>
      <c r="F31" s="36"/>
      <c r="G31" s="24"/>
      <c r="H31" s="37">
        <f>(IF(H$5="A",((I31*$P31)/500)*$AL$12,IF(H$5="B",((I31*$V31)/500)*$AL$12,IF(H$5="K",((I31*$AB31)/500)*$AL$12,IF(I31="",0,0)))))*$F$7*((100-$AM$11)/100*H$39*$G$9)</f>
        <v>0</v>
      </c>
      <c r="I31" s="36"/>
      <c r="J31" s="24"/>
      <c r="K31" s="37">
        <f>(IF(K$5="A",((L31*$P31)/500)*$AL$12,IF(K$5="B",((L31*$V31)/500)*$AL$12,IF(K$5="K",((L31*$AB31)/500)*$AL$12,IF(L31="",0,0)))))*$F$7*((100-$AM$11)/100*K$39*$G$9)</f>
        <v>0</v>
      </c>
      <c r="L31" s="36"/>
      <c r="M31" s="24"/>
      <c r="N31" s="37">
        <f>(IF(N$5="A",((O31*$P31)/500)*$AL$12,IF(N$5="B",((O31*$V31)/500)*$AL$12,IF(N$5="K",((O31*$AB31)/500)*$AL$12,IF(O31="",0,0)))))*$F$7*((100-$AM$11)/100*N$39*$G$9)</f>
        <v>0</v>
      </c>
      <c r="O31" s="36"/>
      <c r="P31" s="38">
        <f>1.4519/1.05*12</f>
        <v>16.593142857142855</v>
      </c>
      <c r="Q31" s="38"/>
      <c r="R31" s="38"/>
      <c r="S31" s="38"/>
      <c r="T31" s="38"/>
      <c r="U31" s="38"/>
      <c r="V31" s="39">
        <f>1.4519/1.05*12</f>
        <v>16.593142857142855</v>
      </c>
      <c r="W31" s="39"/>
      <c r="X31" s="39"/>
      <c r="Y31" s="39"/>
      <c r="Z31" s="39"/>
      <c r="AA31" s="39"/>
      <c r="AB31" s="39">
        <f>1.1615/1.05*12</f>
        <v>13.274285714285714</v>
      </c>
      <c r="AC31" s="39"/>
      <c r="AD31" s="39"/>
      <c r="AE31" s="39"/>
      <c r="AF31" s="39"/>
      <c r="AG31" s="39"/>
      <c r="AH31" s="23"/>
      <c r="AI31" s="65">
        <v>2000</v>
      </c>
      <c r="AJ31" s="15"/>
      <c r="AK31" s="42"/>
      <c r="AL31" s="27"/>
      <c r="AM31" s="66"/>
      <c r="AN31" s="66"/>
      <c r="AO31" s="43" t="s">
        <v>55</v>
      </c>
      <c r="AP31" s="15"/>
    </row>
    <row r="32" spans="2:42" x14ac:dyDescent="0.25">
      <c r="B32" s="15"/>
      <c r="C32" s="15"/>
      <c r="D32" s="22" t="str">
        <f>IF(OR(F32&gt;AI32,I32&gt;AI32,L32&gt;AI32,O32&gt;AI32),"Höchstversicherungssumme beachten!",AO32)</f>
        <v>Unfall-Rente ab 50% Invalidität</v>
      </c>
      <c r="E32" s="35">
        <f>(IF(E$5="A",((F32*$P32)/100)*$AL$12,IF(E$5="B",((F32*$V32)/100)*$AL$12,IF(E$5="K",((F32*$AB32)/100)*$AL$12,IF(F32="",0,0)))))*$F$7*((100-$AM$11)/100*E$39*$G$9)</f>
        <v>0</v>
      </c>
      <c r="F32" s="36"/>
      <c r="G32" s="24"/>
      <c r="H32" s="37">
        <f>(IF(H$5="A",((I32*$P32)/100)*$AL$12,IF(H$5="B",((I32*$V32)/100)*$AL$12,IF(H$5="K",((I32*$AB32)/100)*$AL$12,IF(I32="",0,0)))))*$F$7*((100-$AM$11)/100*H$39*$G$9)</f>
        <v>0</v>
      </c>
      <c r="I32" s="36"/>
      <c r="J32" s="24"/>
      <c r="K32" s="37">
        <f>(IF(K$5="A",((L32*$P32)/100)*$AL$12,IF(K$5="B",((L32*$V32)/100)*$AL$12,IF(K$5="K",((L32*$AB32)/100)*$AL$12,IF(L32="",0,0)))))*$F$7*((100-$AM$11)/100*K$39*$G$9)</f>
        <v>0</v>
      </c>
      <c r="L32" s="36"/>
      <c r="M32" s="24"/>
      <c r="N32" s="37">
        <f>(IF(N$5="A",((O32*$P32)/100)*$AL$12,IF(N$5="B",((O32*$V32)/100)*$AL$12,IF(N$5="K",((O32*$AB32)/100)*$AL$12,IF(O32="",0,0)))))*$F$7*((100-$AM$11)/100*N$39*$G$9)</f>
        <v>0</v>
      </c>
      <c r="O32" s="36"/>
      <c r="P32" s="38">
        <f>0.4875/1.05*12</f>
        <v>5.5714285714285712</v>
      </c>
      <c r="Q32" s="38"/>
      <c r="R32" s="38"/>
      <c r="S32" s="38"/>
      <c r="T32" s="38"/>
      <c r="U32" s="38"/>
      <c r="V32" s="39">
        <f>0.4875/1.05*12</f>
        <v>5.5714285714285712</v>
      </c>
      <c r="W32" s="39"/>
      <c r="X32" s="39"/>
      <c r="Y32" s="39"/>
      <c r="Z32" s="39"/>
      <c r="AA32" s="39"/>
      <c r="AB32" s="39">
        <f>0.3817/1.05*12</f>
        <v>4.3622857142857132</v>
      </c>
      <c r="AC32" s="39"/>
      <c r="AD32" s="39"/>
      <c r="AE32" s="39"/>
      <c r="AF32" s="39"/>
      <c r="AG32" s="39"/>
      <c r="AH32" s="23"/>
      <c r="AI32" s="65">
        <v>2000</v>
      </c>
      <c r="AJ32" s="15"/>
      <c r="AK32" s="19"/>
      <c r="AL32" s="18"/>
      <c r="AM32" s="15"/>
      <c r="AN32" s="15"/>
      <c r="AO32" s="43" t="s">
        <v>56</v>
      </c>
      <c r="AP32" s="15"/>
    </row>
    <row r="33" spans="2:1024" x14ac:dyDescent="0.25">
      <c r="B33" s="15"/>
      <c r="C33" s="2" t="s">
        <v>57</v>
      </c>
      <c r="D33" s="22" t="str">
        <f>IF(OR(F33&gt;AI33,I33&gt;AI33,L33&gt;AI33,O33&gt;AI33),"Höchstversicherungssumme beachten!",AO33)</f>
        <v>Beihilfe zu Reha-Maßnahmen</v>
      </c>
      <c r="E33" s="35">
        <f>(IF(E$5="A",((F33*$P33)/1000)*$AL$12,IF(E$5="B",((F33*$V33)/1000)*$AL$12,IF(E$5="K",((F33*$AB33)/1000)*$AL$12,IF(F33="",0,0)))))*$F$7*((100-$AM$11)/100*E$39*$G$9)</f>
        <v>0</v>
      </c>
      <c r="F33" s="36"/>
      <c r="G33" s="24"/>
      <c r="H33" s="37">
        <f>(IF(H$5="A",((I33*$P33)/1000)*$AL$12,IF(H$5="B",((I33*$V33)/1000)*$AL$12,IF(H$5="K",((I33*$AB33)/1000)*$AL$12,IF(I33="",0,0)))))*$F$7*((100-$AM$11)/100*H$39*$G$9)</f>
        <v>0</v>
      </c>
      <c r="I33" s="36"/>
      <c r="J33" s="24"/>
      <c r="K33" s="37">
        <f>(IF(K$5="A",((L33*$P33)/1000)*$AL$12,IF(K$5="B",((L33*$V33)/1000)*$AL$12,IF(K$5="K",((L33*$AB33)/1000)*$AL$12,IF(L33="",0,0)))))*$F$7*((100-$AM$11)/100*K$39*$G$9)</f>
        <v>0</v>
      </c>
      <c r="L33" s="36"/>
      <c r="M33" s="24"/>
      <c r="N33" s="37">
        <f>(IF(N$5="A",((O33*$P33)/1000)*$AL$12,IF(N$5="B",((O33*$V33)/1000)*$AL$12,IF(N$5="K",((O33*$AB33)/1000)*$AL$12,IF(O33="",0,0)))))*$F$7*((100-$AM$11)/100*N$39*$G$9)</f>
        <v>0</v>
      </c>
      <c r="O33" s="36"/>
      <c r="P33" s="38">
        <f>0.0329/1.05*12</f>
        <v>0.376</v>
      </c>
      <c r="Q33" s="38"/>
      <c r="R33" s="38"/>
      <c r="S33" s="38"/>
      <c r="T33" s="38"/>
      <c r="U33" s="38"/>
      <c r="V33" s="39">
        <f>0.037/1.05*12</f>
        <v>0.42285714285714282</v>
      </c>
      <c r="W33" s="39"/>
      <c r="X33" s="39"/>
      <c r="Y33" s="39"/>
      <c r="Z33" s="39"/>
      <c r="AA33" s="39"/>
      <c r="AB33" s="39">
        <f>0.0329/1.05*12</f>
        <v>0.376</v>
      </c>
      <c r="AC33" s="39"/>
      <c r="AD33" s="39"/>
      <c r="AE33" s="39"/>
      <c r="AF33" s="39"/>
      <c r="AG33" s="39"/>
      <c r="AH33" s="23"/>
      <c r="AI33" s="65">
        <v>5000</v>
      </c>
      <c r="AJ33" s="15"/>
      <c r="AK33" s="19"/>
      <c r="AL33" s="79"/>
      <c r="AM33" s="15"/>
      <c r="AN33" s="15"/>
      <c r="AO33" s="43" t="s">
        <v>58</v>
      </c>
      <c r="AP33" s="15"/>
    </row>
    <row r="34" spans="2:1024" hidden="1" x14ac:dyDescent="0.25">
      <c r="B34" s="15"/>
      <c r="C34" s="2"/>
      <c r="D34" s="22" t="str">
        <f>IF(AJ34=1,"Höchstversicherungssumme beachten!",IF(AK34=1,"Nur für Erwachsene!",AO34))</f>
        <v>Familienhilfe Plus</v>
      </c>
      <c r="E34" s="35">
        <f>IF(E5="K",0,IF(F34="ja",$P34,0)*$F$7*((100-$AM$11)/100*E$39*$G$9))</f>
        <v>0</v>
      </c>
      <c r="F34" s="80" t="s">
        <v>15</v>
      </c>
      <c r="G34" s="81"/>
      <c r="H34" s="37">
        <f>IF(H5="K",0,IF(I34="ja",$P34,0)*$F$7*((100-$AM$11)/100*H$39*$G$9))</f>
        <v>0</v>
      </c>
      <c r="I34" s="80" t="s">
        <v>15</v>
      </c>
      <c r="J34" s="81"/>
      <c r="K34" s="37">
        <f>IF(K5="K",0,IF(L34="ja",$P34,0)*$F$7*((100-$AM$11)/100*K$39*$G$9))</f>
        <v>0</v>
      </c>
      <c r="L34" s="80" t="s">
        <v>15</v>
      </c>
      <c r="M34" s="81"/>
      <c r="N34" s="37">
        <f>IF(N5="K",0,IF(O34="ja",$P34,0)*$F$7*((100-$AM$11)/100*N$39*$G$9))</f>
        <v>0</v>
      </c>
      <c r="O34" s="80" t="s">
        <v>15</v>
      </c>
      <c r="P34" s="38">
        <v>30.67</v>
      </c>
      <c r="Q34" s="38"/>
      <c r="R34" s="38"/>
      <c r="S34" s="38"/>
      <c r="T34" s="38"/>
      <c r="U34" s="38"/>
      <c r="V34" s="39">
        <v>34.32</v>
      </c>
      <c r="W34" s="39"/>
      <c r="X34" s="39"/>
      <c r="Y34" s="39"/>
      <c r="Z34" s="39"/>
      <c r="AA34" s="39"/>
      <c r="AB34" s="39" t="s">
        <v>48</v>
      </c>
      <c r="AC34" s="39"/>
      <c r="AD34" s="39"/>
      <c r="AE34" s="39"/>
      <c r="AF34" s="39"/>
      <c r="AG34" s="39"/>
      <c r="AH34" s="23"/>
      <c r="AI34" s="65" t="s">
        <v>59</v>
      </c>
      <c r="AJ34" s="82"/>
      <c r="AK34" s="19" t="b">
        <f>OR(AND($E$5="K",F34="ja"),AND($H$5="K",I34="ja"),AND($K$5="K",L34="ja"),AND($N$5="K",O34="ja"))</f>
        <v>0</v>
      </c>
      <c r="AL34" s="18"/>
      <c r="AM34" s="15"/>
      <c r="AN34" s="15"/>
      <c r="AO34" s="43" t="s">
        <v>60</v>
      </c>
      <c r="AP34" s="15"/>
    </row>
    <row r="35" spans="2:1024" s="83" customFormat="1" ht="22.05" customHeight="1" x14ac:dyDescent="0.25">
      <c r="B35" s="82"/>
      <c r="C35" s="2"/>
      <c r="D35" s="84" t="str">
        <f>IF(AJ35=1,"Höchstversicherungssumme beachten!",IF(AK35=1,"Nur für Erwachsene!",AO35))</f>
        <v>Bergungs- und Rettungskosten
(100.000 € - beitragsfrei)</v>
      </c>
      <c r="E35" s="85">
        <v>0</v>
      </c>
      <c r="F35" s="86">
        <v>100000</v>
      </c>
      <c r="G35" s="87"/>
      <c r="H35" s="88">
        <v>0</v>
      </c>
      <c r="I35" s="86">
        <v>100000</v>
      </c>
      <c r="J35" s="87"/>
      <c r="K35" s="88">
        <v>0</v>
      </c>
      <c r="L35" s="86">
        <v>100000</v>
      </c>
      <c r="M35" s="87"/>
      <c r="N35" s="88">
        <v>0</v>
      </c>
      <c r="O35" s="86">
        <v>100000</v>
      </c>
      <c r="P35" s="89"/>
      <c r="Q35" s="89"/>
      <c r="R35" s="89"/>
      <c r="S35" s="89"/>
      <c r="T35" s="89"/>
      <c r="U35" s="89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0"/>
      <c r="AG35" s="90"/>
      <c r="AH35" s="91"/>
      <c r="AI35" s="92" t="s">
        <v>59</v>
      </c>
      <c r="AJ35" s="15"/>
      <c r="AK35" s="93"/>
      <c r="AL35" s="94"/>
      <c r="AM35" s="82"/>
      <c r="AN35" s="82"/>
      <c r="AO35" s="95" t="s">
        <v>61</v>
      </c>
      <c r="AP35" s="82"/>
      <c r="AMJ35"/>
    </row>
    <row r="36" spans="2:1024" ht="18.149999999999999" customHeight="1" x14ac:dyDescent="0.25">
      <c r="B36" s="15"/>
      <c r="C36" s="2"/>
      <c r="D36" s="96" t="s">
        <v>62</v>
      </c>
      <c r="E36" s="97"/>
      <c r="F36" s="97"/>
      <c r="G36" s="97"/>
      <c r="H36" s="97"/>
      <c r="I36" s="97"/>
      <c r="J36" s="97"/>
      <c r="K36" s="98"/>
      <c r="L36" s="97"/>
      <c r="M36" s="97"/>
      <c r="N36" s="97"/>
      <c r="O36" s="97"/>
      <c r="P36" s="99"/>
      <c r="Q36" s="99"/>
      <c r="R36" s="99"/>
      <c r="S36" s="99"/>
      <c r="T36" s="99"/>
      <c r="U36" s="99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23"/>
      <c r="AI36" s="101"/>
      <c r="AJ36" s="32"/>
      <c r="AK36" s="19"/>
      <c r="AL36" s="79"/>
      <c r="AM36" s="15"/>
      <c r="AN36" s="15"/>
      <c r="AO36" s="43"/>
      <c r="AP36" s="15"/>
    </row>
    <row r="37" spans="2:1024" x14ac:dyDescent="0.25">
      <c r="B37" s="15"/>
      <c r="C37" s="2"/>
      <c r="D37" s="22" t="str">
        <f>IF(OR(F37&gt;AI37,I37&gt;AI37,L37&gt;AI37,O37&gt;AI37),"Höchstversicherungssumme beachten!",AO37)</f>
        <v>Soforthilfe bei Krebs (nur Kinder)</v>
      </c>
      <c r="E37" s="97"/>
      <c r="F37" s="24"/>
      <c r="G37" s="24"/>
      <c r="H37" s="102" t="str">
        <f>(IF(H$5="B","nur Kinder!",IF(H$5="A","nur Kinder!",IF(H$5="K",((I37*$P37)/1000)*$AL$12*$F$7*((100-$AM$11)/100*H$39*$G$9),IF(I37="",0,0)))))</f>
        <v>nur Kinder!</v>
      </c>
      <c r="I37" s="36"/>
      <c r="J37" s="24"/>
      <c r="K37" s="102" t="str">
        <f>(IF(K$5="B","nur Kinder!",IF(K$5="A","nur Kinder!",IF(K$5="K",((L37*$P37)/1000)*$AL$12*$F$7*((100-$AM$11)/100*K$39*$G$9),IF(L37="",0,0)))))</f>
        <v>nur Kinder!</v>
      </c>
      <c r="L37" s="36"/>
      <c r="M37" s="103"/>
      <c r="N37" s="104" t="str">
        <f>(IF(N$5="B","nur Kinder!",IF(N$5="A","nur Kinder!",IF(N$5="K",((O37*$P37)/1000)*$AL$12*$F$7*((100-$AM$11)/100*N$39*$G$9),IF(O37="",0,0)))))</f>
        <v>nur Kinder!</v>
      </c>
      <c r="O37" s="36"/>
      <c r="P37" s="39">
        <f>0.0486/1.05*12</f>
        <v>0.55542857142857138</v>
      </c>
      <c r="Q37" s="38"/>
      <c r="R37" s="38"/>
      <c r="S37" s="38"/>
      <c r="T37" s="38"/>
      <c r="U37" s="38"/>
      <c r="V37" s="39"/>
      <c r="W37" s="39"/>
      <c r="X37" s="39"/>
      <c r="Y37" s="39"/>
      <c r="Z37" s="39"/>
      <c r="AA37" s="39"/>
      <c r="AB37" s="39">
        <f>0.0486/1.05*12</f>
        <v>0.55542857142857138</v>
      </c>
      <c r="AC37" s="39"/>
      <c r="AD37" s="39"/>
      <c r="AE37" s="39"/>
      <c r="AF37" s="39"/>
      <c r="AG37" s="39"/>
      <c r="AH37" s="23"/>
      <c r="AI37" s="65">
        <v>10000</v>
      </c>
      <c r="AJ37" s="32"/>
      <c r="AK37" s="19" t="b">
        <f>OR(AND($E$5&lt;&gt;"K",F37&gt;0),AND($H$5&lt;&gt;"K",I37&gt;0),AND($K$5&lt;&gt;"K",L37&gt;0),AND($N$5&lt;&gt;"K",O37&gt;0))</f>
        <v>0</v>
      </c>
      <c r="AL37" s="75"/>
      <c r="AM37" s="15"/>
      <c r="AN37" s="32"/>
      <c r="AO37" s="43" t="s">
        <v>50</v>
      </c>
      <c r="AP37" s="32"/>
    </row>
    <row r="38" spans="2:1024" x14ac:dyDescent="0.25">
      <c r="B38" s="15"/>
      <c r="C38" s="2"/>
      <c r="D38" s="22" t="str">
        <f>IF(OR(F38&gt;AI38,I38&gt;AI38,L38&gt;AI38,O38&gt;AI38),"Höchstversicherungssumme beachten!",AO38)</f>
        <v>Schulausfallgeld</v>
      </c>
      <c r="E38" s="97"/>
      <c r="F38" s="24"/>
      <c r="G38" s="24"/>
      <c r="H38" s="102" t="str">
        <f>(IF(H$5="B","nur Kinder!",IF(H$5="A","nur Kinder!",IF(H$5="K",((I38*$AB38)/10)*$AL$12*$F$7*((100-$AM$11)/100*H$39*$G$9),IF(I38="",0,0)))))</f>
        <v>nur Kinder!</v>
      </c>
      <c r="I38" s="36"/>
      <c r="J38" s="24"/>
      <c r="K38" s="102" t="str">
        <f>(IF(K$5="B","nur Kinder!",IF(K$5="A","nur Kinder!",IF(K$5="K",((L38*$AB38)/10)*$AL$12*$F$7*((100-$AM$11)/100*K$39*$G$9),IF(L38="",0,0)))))</f>
        <v>nur Kinder!</v>
      </c>
      <c r="L38" s="36"/>
      <c r="M38" s="103"/>
      <c r="N38" s="104" t="str">
        <f>(IF(N$5="B","nur Kinder!",IF(N$5="A","nur Kinder!",IF(N$5="K",((O38*$AB38)/10)*$AL$12*$F$7*((100-$AM$11)/100*N$39*$G$9),IF(O38="",0,0)))))</f>
        <v>nur Kinder!</v>
      </c>
      <c r="O38" s="36"/>
      <c r="P38" s="39">
        <f>0.9183/1.05*12</f>
        <v>10.494857142857143</v>
      </c>
      <c r="Q38" s="38"/>
      <c r="R38" s="38"/>
      <c r="S38" s="38"/>
      <c r="T38" s="38"/>
      <c r="U38" s="38"/>
      <c r="V38" s="39"/>
      <c r="W38" s="39"/>
      <c r="X38" s="39"/>
      <c r="Y38" s="39"/>
      <c r="Z38" s="39"/>
      <c r="AA38" s="39"/>
      <c r="AB38" s="39">
        <f>0.9183/1.05*12</f>
        <v>10.494857142857143</v>
      </c>
      <c r="AC38" s="39"/>
      <c r="AD38" s="39"/>
      <c r="AE38" s="39"/>
      <c r="AF38" s="39"/>
      <c r="AG38" s="39"/>
      <c r="AH38" s="23"/>
      <c r="AI38" s="65">
        <v>30</v>
      </c>
      <c r="AJ38" s="15"/>
      <c r="AK38" s="19" t="b">
        <f>OR(AND($E$5&lt;&gt;"K",F38&gt;0),AND($H$5&lt;&gt;"K",I38&gt;0),AND($K$5&lt;&gt;"K",L38&gt;0),AND($N$5&lt;&gt;"K",O38&gt;0))</f>
        <v>0</v>
      </c>
      <c r="AL38" s="75"/>
      <c r="AM38" s="15"/>
      <c r="AN38" s="32"/>
      <c r="AO38" s="43" t="s">
        <v>63</v>
      </c>
      <c r="AP38" s="32"/>
    </row>
    <row r="39" spans="2:1024" ht="6.75" customHeight="1" x14ac:dyDescent="0.25">
      <c r="B39" s="15"/>
      <c r="C39" s="2"/>
      <c r="D39" s="27"/>
      <c r="E39" s="23">
        <f>1+IF(E8="nein",0,0.15)</f>
        <v>1.1499999999999999</v>
      </c>
      <c r="F39" s="105"/>
      <c r="G39" s="105"/>
      <c r="H39" s="23">
        <f>1+IF(E8="nein",0,0.15)</f>
        <v>1.1499999999999999</v>
      </c>
      <c r="I39" s="105"/>
      <c r="J39" s="105"/>
      <c r="K39" s="23">
        <f>1+IF(E8="nein",0,0.15)</f>
        <v>1.1499999999999999</v>
      </c>
      <c r="L39" s="105"/>
      <c r="M39" s="105"/>
      <c r="N39" s="23">
        <f>1+IF(E8="nein",0,0.15)</f>
        <v>1.1499999999999999</v>
      </c>
      <c r="O39" s="105"/>
      <c r="P39" s="106"/>
      <c r="Q39" s="106"/>
      <c r="R39" s="106"/>
      <c r="S39" s="106"/>
      <c r="T39" s="106"/>
      <c r="U39" s="10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15"/>
      <c r="AK39" s="26"/>
      <c r="AL39" s="18"/>
      <c r="AM39" s="18"/>
      <c r="AN39" s="15"/>
      <c r="AP39" s="15"/>
    </row>
    <row r="40" spans="2:1024" x14ac:dyDescent="0.25">
      <c r="B40" s="15"/>
      <c r="C40" s="2"/>
      <c r="D40" s="28" t="str">
        <f>CONCATENATE("Bruttobeitrag ",E7," pro VP")</f>
        <v>Bruttobeitrag monatlich pro VP</v>
      </c>
      <c r="E40" s="107">
        <f>SUM(E12,E15:E38)</f>
        <v>15.644599999999997</v>
      </c>
      <c r="F40" s="108"/>
      <c r="G40" s="109"/>
      <c r="H40" s="107">
        <f>SUM(H12,H15:H38)</f>
        <v>11.918024999999998</v>
      </c>
      <c r="I40" s="108"/>
      <c r="J40" s="109"/>
      <c r="K40" s="107">
        <f>SUM(K12,K15:K38)</f>
        <v>12.930025000000001</v>
      </c>
      <c r="L40" s="108"/>
      <c r="M40" s="109"/>
      <c r="N40" s="107">
        <f>SUM(N12,N15:N38)</f>
        <v>12.930025000000001</v>
      </c>
      <c r="O40" s="10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5"/>
      <c r="AP40" s="15"/>
    </row>
    <row r="41" spans="2:1024" ht="7.5" customHeight="1" x14ac:dyDescent="0.25">
      <c r="B41" s="15"/>
      <c r="C41" s="2"/>
      <c r="D41" s="18"/>
      <c r="E41" s="27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5"/>
      <c r="AP41" s="15"/>
    </row>
    <row r="42" spans="2:1024" x14ac:dyDescent="0.25">
      <c r="B42" s="15"/>
      <c r="C42" s="2"/>
      <c r="D42" s="110" t="str">
        <f>CONCATENATE("Gesamtbruttobeitrag ",E7)</f>
        <v>Gesamtbruttobeitrag monatlich</v>
      </c>
      <c r="E42" s="111">
        <f>SUM(E40:N40)</f>
        <v>53.422674999999998</v>
      </c>
      <c r="F42" s="18"/>
      <c r="G42" s="15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5"/>
      <c r="AP42" s="15"/>
    </row>
    <row r="43" spans="2:1024" ht="8.5500000000000007" customHeight="1" x14ac:dyDescent="0.25">
      <c r="B43" s="15"/>
      <c r="C43" s="2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5"/>
      <c r="AP43" s="15"/>
    </row>
    <row r="44" spans="2:1024" ht="6.45" customHeight="1" x14ac:dyDescent="0.25">
      <c r="B44" s="15"/>
      <c r="C44" s="2"/>
      <c r="D44" s="18"/>
      <c r="E44" s="18"/>
      <c r="F44" s="112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79"/>
      <c r="AM44" s="18"/>
      <c r="AN44" s="15"/>
      <c r="AP44" s="15"/>
    </row>
    <row r="45" spans="2:1024" ht="10.95" customHeight="1" x14ac:dyDescent="0.25">
      <c r="B45" s="15"/>
      <c r="C45" s="15"/>
      <c r="D45" s="18" t="s">
        <v>64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13"/>
      <c r="R45" s="113"/>
      <c r="S45" s="79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5"/>
      <c r="AP45" s="15"/>
    </row>
    <row r="46" spans="2:1024" ht="6.45" customHeight="1" x14ac:dyDescent="0.25"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P46" s="15"/>
    </row>
    <row r="47" spans="2:1024" x14ac:dyDescent="0.25">
      <c r="B47" s="15"/>
      <c r="C47" s="15"/>
      <c r="D47" s="26" t="s">
        <v>65</v>
      </c>
      <c r="E47" s="32"/>
      <c r="F47" s="32"/>
      <c r="G47" s="32"/>
      <c r="H47" s="32"/>
      <c r="I47" s="32"/>
      <c r="J47" s="32"/>
      <c r="K47" s="32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14"/>
      <c r="X47" s="114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P47" s="15"/>
    </row>
    <row r="48" spans="2:1024" ht="14.7" customHeight="1" x14ac:dyDescent="0.25">
      <c r="B48" s="15"/>
      <c r="C48" s="15"/>
      <c r="D48" s="1" t="s">
        <v>66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5"/>
      <c r="AN48" s="15"/>
      <c r="AP48" s="15"/>
    </row>
    <row r="49" spans="2:42" ht="14.7" hidden="1" customHeight="1" x14ac:dyDescent="0.25">
      <c r="B49" s="15"/>
      <c r="C49" s="15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5"/>
      <c r="AN49" s="15"/>
      <c r="AP49" s="15"/>
    </row>
    <row r="50" spans="2:42" ht="22.35" hidden="1" customHeight="1" x14ac:dyDescent="0.25">
      <c r="B50" s="15"/>
      <c r="C50" s="15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5"/>
      <c r="AN50" s="15"/>
      <c r="AP50" s="15"/>
    </row>
    <row r="51" spans="2:42" x14ac:dyDescent="0.25"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P51" s="15"/>
    </row>
    <row r="55" spans="2:42" ht="29.85" customHeight="1" x14ac:dyDescent="0.25"/>
    <row r="57" spans="2:42" x14ac:dyDescent="0.25">
      <c r="K57" s="14" t="s">
        <v>67</v>
      </c>
    </row>
  </sheetData>
  <sheetProtection sheet="1" objects="1" scenarios="1"/>
  <mergeCells count="32">
    <mergeCell ref="C33:C44"/>
    <mergeCell ref="D48:AL48"/>
    <mergeCell ref="D49:AL49"/>
    <mergeCell ref="D50:AL50"/>
    <mergeCell ref="AL16:AM16"/>
    <mergeCell ref="E24:E25"/>
    <mergeCell ref="H24:H25"/>
    <mergeCell ref="K24:K25"/>
    <mergeCell ref="N24:N25"/>
    <mergeCell ref="AM24:AN24"/>
    <mergeCell ref="AM25:AN25"/>
    <mergeCell ref="E13:F13"/>
    <mergeCell ref="H13:I13"/>
    <mergeCell ref="K13:L13"/>
    <mergeCell ref="N13:O13"/>
    <mergeCell ref="E14:F14"/>
    <mergeCell ref="H14:I14"/>
    <mergeCell ref="K14:L14"/>
    <mergeCell ref="N14:O14"/>
    <mergeCell ref="E4:F4"/>
    <mergeCell ref="H4:I4"/>
    <mergeCell ref="K4:L4"/>
    <mergeCell ref="N4:O4"/>
    <mergeCell ref="E10:F10"/>
    <mergeCell ref="H10:I10"/>
    <mergeCell ref="K10:L10"/>
    <mergeCell ref="N10:O10"/>
    <mergeCell ref="D2:AN2"/>
    <mergeCell ref="E3:F3"/>
    <mergeCell ref="H3:I3"/>
    <mergeCell ref="K3:L3"/>
    <mergeCell ref="N3:O3"/>
  </mergeCells>
  <conditionalFormatting sqref="D12 D19:D21 D23:D25 D34:D36">
    <cfRule type="cellIs" dxfId="12" priority="10" operator="equal">
      <formula>"Nur für Kinder!"</formula>
    </cfRule>
  </conditionalFormatting>
  <conditionalFormatting sqref="D12 D28:D29 D34:D36">
    <cfRule type="cellIs" dxfId="11" priority="11" operator="equal">
      <formula>"Nur für Erwachsene!"</formula>
    </cfRule>
  </conditionalFormatting>
  <conditionalFormatting sqref="D12">
    <cfRule type="cellIs" dxfId="10" priority="9" operator="equal">
      <formula>"Höchstversicherungssumme beachten!"</formula>
    </cfRule>
  </conditionalFormatting>
  <conditionalFormatting sqref="D15:D38">
    <cfRule type="cellIs" dxfId="9" priority="2" operator="equal">
      <formula>"Höchstversicherungssumme beachten!"</formula>
    </cfRule>
  </conditionalFormatting>
  <conditionalFormatting sqref="D19:D26">
    <cfRule type="cellIs" dxfId="8" priority="8" operator="equal">
      <formula>"Nur für Erwachsene!"</formula>
    </cfRule>
  </conditionalFormatting>
  <conditionalFormatting sqref="D27:D29">
    <cfRule type="cellIs" dxfId="7" priority="6" operator="equal">
      <formula>"Nur für Kinder!"</formula>
    </cfRule>
  </conditionalFormatting>
  <conditionalFormatting sqref="D31:D32">
    <cfRule type="cellIs" dxfId="6" priority="28" operator="equal">
      <formula>"Nur für Kinder!"</formula>
    </cfRule>
    <cfRule type="cellIs" dxfId="5" priority="29" operator="equal">
      <formula>"Nur für Erwachsene!"</formula>
    </cfRule>
  </conditionalFormatting>
  <conditionalFormatting sqref="F16">
    <cfRule type="cellIs" dxfId="4" priority="31" operator="equal">
      <formula>0</formula>
    </cfRule>
  </conditionalFormatting>
  <conditionalFormatting sqref="F25 I25 L25 O25">
    <cfRule type="cellIs" dxfId="3" priority="23" operator="equal">
      <formula>0</formula>
    </cfRule>
  </conditionalFormatting>
  <conditionalFormatting sqref="I16">
    <cfRule type="cellIs" dxfId="2" priority="30" operator="equal">
      <formula>0</formula>
    </cfRule>
  </conditionalFormatting>
  <conditionalFormatting sqref="L16">
    <cfRule type="cellIs" dxfId="1" priority="24" operator="equal">
      <formula>0</formula>
    </cfRule>
  </conditionalFormatting>
  <conditionalFormatting sqref="O16">
    <cfRule type="cellIs" dxfId="0" priority="25" operator="equal">
      <formula>0</formula>
    </cfRule>
  </conditionalFormatting>
  <dataValidations count="9">
    <dataValidation type="list" operator="equal" allowBlank="1" showErrorMessage="1" error="Nur Gefahrengrupppe A oder B gültig" sqref="E5 H5 K5 N5" xr:uid="{00000000-0002-0000-0000-000000000000}">
      <formula1>"A,B,K"</formula1>
      <formula2>0</formula2>
    </dataValidation>
    <dataValidation type="list" operator="equal" allowBlank="1" showErrorMessage="1" error="Nur Werte aus Liste gültig (monatlich, vierteljährlich, halbjährlich, jährlich)" sqref="E7" xr:uid="{00000000-0002-0000-0000-000001000000}">
      <formula1>"jährlich,halbjährlich,vierteljährlich,monatlich"</formula1>
      <formula2>0</formula2>
    </dataValidation>
    <dataValidation type="list" operator="equal" allowBlank="1" showErrorMessage="1" error="Nur Werte aus Liste gültig (monatlich, vierteljährlich, halbjährlich, jährlich)" sqref="E8:E9" xr:uid="{00000000-0002-0000-0000-000002000000}">
      <formula1>"ja,nein"</formula1>
      <formula2>0</formula2>
    </dataValidation>
    <dataValidation operator="equal" allowBlank="1" showErrorMessage="1" sqref="F12:F14 I12:I14 L12:L14 O12:O14 F17:F22 I17:I22 L17:L29 O17:O29 F24:F29 I24:I29 F31:F33 I31:I33 L31:L33 O31:O33 F35 I35 L35 O35 F37:F38 I37:I38 L37:L38 O37:O38" xr:uid="{00000000-0002-0000-0000-000003000000}">
      <formula1>0</formula1>
      <formula2>0</formula2>
    </dataValidation>
    <dataValidation type="whole" operator="lessThanOrEqual" allowBlank="1" showErrorMessage="1" errorTitle="Höchstversicherungssumme beachten" error="Grundsumme max. 300.000 €" sqref="F15 I15 L15 O15" xr:uid="{00000000-0002-0000-0000-000004000000}">
      <formula1>300000</formula1>
      <formula2>0</formula2>
    </dataValidation>
    <dataValidation type="list" operator="equal" allowBlank="1" showErrorMessage="1" error="Nur Werte aus Liste gültig_x000a_(ohne Prog., P225, P350, P500)" sqref="E16" xr:uid="{00000000-0002-0000-0000-000005000000}">
      <formula1>"ohne Prog.,P225,P300,P350,P500,P1000"</formula1>
      <formula2>0</formula2>
    </dataValidation>
    <dataValidation type="whole" operator="lessThanOrEqual" allowBlank="1" showInputMessage="1" showErrorMessage="1" errorTitle="Höchstversicherungssumme beachten" error="Höchstversicherumme max. 750.000 €._x000a__x000a_Progression  225  =&gt; Grundsumme max. 333.333 €_x000a_Progression  300  =&gt; Grundsumme max. 300.000 €_x000a_Progression  350  =&gt; Grundsumme max. 214.285 €_x000a_Progression  500  =&gt; Grundsumme max. 150.000 €_x000a_Progression 1000 =&gt; Grundsumme" prompt="Höchstversicherumme max. 750.000 €._x000a__x000a_Progression  225  =&gt; Grundsumme max. 333.333 €_x000a_Progression  300  =&gt; Grundsumme max. 300.000 €_x000a_Progression  350  =&gt; Grundsumme max. 214.285 €_x000a_Progression  500  =&gt; Grundsumme max. 150.000 €_x000a_Progression 1000 =&gt; Grundsumme" sqref="F16 I16 L16 O16" xr:uid="{00000000-0002-0000-0000-000006000000}">
      <formula1>750000</formula1>
      <formula2>0</formula2>
    </dataValidation>
    <dataValidation type="list" operator="equal" allowBlank="1" showErrorMessage="1" error="Nur Werte aus Liste gültig_x000a_(ML90, P225, P350, P500)" sqref="H16 N16 K16" xr:uid="{00000000-0002-0000-0000-000007000000}">
      <formula1>"ohne Prog.,P225,P300,P350,P500,P1000"</formula1>
      <formula2>0</formula2>
    </dataValidation>
    <dataValidation type="list" operator="equal" allowBlank="1" showErrorMessage="1" error="Nur &quot;ja&quot; oder &quot;nein&quot; gültig" sqref="F30 I30 L30 O30 F34 I34 L34 O34" xr:uid="{00000000-0002-0000-0000-00000A000000}">
      <formula1>"ja,nein"</formula1>
      <formula2>0</formula2>
    </dataValidation>
  </dataValidations>
  <pageMargins left="0.39374999999999999" right="0.39374999999999999" top="0.31527777777777799" bottom="0.31527777777777799" header="0.511811023622047" footer="0.511811023622047"/>
  <pageSetup paperSize="9" scale="85" orientation="landscape" useFirstPageNumber="1" horizontalDpi="300" verticalDpi="300"/>
  <rowBreaks count="1" manualBreakCount="1">
    <brk id="48" max="16383" man="1"/>
  </rowBreaks>
  <colBreaks count="2" manualBreakCount="2">
    <brk id="36" max="1048575" man="1"/>
    <brk id="40" max="1048575" man="1"/>
  </colBreaks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VSAM - Beitragsberechnungstabel</vt:lpstr>
      <vt:lpstr>'VSAM - Beitragsberechnungstabel'!Druckbereich</vt:lpstr>
      <vt:lpstr>'VSAM - Beitragsberechnungstabel'!Excel_BuiltIn_Print_Area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Sterkel</dc:creator>
  <dc:description/>
  <cp:lastModifiedBy>Sascha Klisch5</cp:lastModifiedBy>
  <cp:revision>86</cp:revision>
  <cp:lastPrinted>2016-06-21T11:41:17Z</cp:lastPrinted>
  <dcterms:created xsi:type="dcterms:W3CDTF">2016-06-21T09:59:45Z</dcterms:created>
  <dcterms:modified xsi:type="dcterms:W3CDTF">2024-01-17T12:34:54Z</dcterms:modified>
  <dc:language>de-DE</dc:language>
</cp:coreProperties>
</file>